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Health\ResearchProjects\JTGonzalez\RE-FH1109-ESPEN-Fellowship\R Edinburgh\1 Training Study Writing_08-02\"/>
    </mc:Choice>
  </mc:AlternateContent>
  <bookViews>
    <workbookView xWindow="0" yWindow="0" windowWidth="28800" windowHeight="12435" activeTab="1"/>
  </bookViews>
  <sheets>
    <sheet name="Acute Study" sheetId="1" r:id="rId1"/>
    <sheet name="Training Study" sheetId="2" r:id="rId2"/>
  </sheets>
  <definedNames>
    <definedName name="_pp5" localSheetId="1">0.0118</definedName>
    <definedName name="_pp6" localSheetId="1">173</definedName>
    <definedName name="gcl" localSheetId="1">90*0.05551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2" l="1"/>
  <c r="T33" i="2"/>
  <c r="T32" i="2"/>
  <c r="T31" i="2"/>
  <c r="T30" i="2"/>
  <c r="T29" i="2"/>
  <c r="T28" i="2"/>
  <c r="T27" i="2"/>
  <c r="T26" i="2"/>
  <c r="T24" i="2"/>
  <c r="T23" i="2"/>
  <c r="T22" i="2"/>
  <c r="T21" i="2"/>
  <c r="T19" i="2"/>
  <c r="T18" i="2"/>
  <c r="T17" i="2"/>
  <c r="T16" i="2"/>
  <c r="T15" i="2"/>
  <c r="T13" i="2"/>
  <c r="T10" i="2"/>
  <c r="T9" i="2"/>
  <c r="T8" i="2"/>
  <c r="T7" i="2"/>
  <c r="T6" i="2"/>
  <c r="T4" i="2"/>
  <c r="T3" i="2"/>
  <c r="S34" i="2"/>
  <c r="S33" i="2"/>
  <c r="S32" i="2"/>
  <c r="S31" i="2"/>
  <c r="S30" i="2"/>
  <c r="S29" i="2"/>
  <c r="S28" i="2"/>
  <c r="S27" i="2"/>
  <c r="S26" i="2"/>
  <c r="S24" i="2"/>
  <c r="S23" i="2"/>
  <c r="S22" i="2"/>
  <c r="S21" i="2"/>
  <c r="S19" i="2"/>
  <c r="S18" i="2"/>
  <c r="S17" i="2"/>
  <c r="S15" i="2"/>
  <c r="S14" i="2"/>
  <c r="S13" i="2"/>
  <c r="S10" i="2"/>
  <c r="S9" i="2"/>
  <c r="S8" i="2"/>
  <c r="S7" i="2"/>
  <c r="S6" i="2"/>
  <c r="S4" i="2"/>
  <c r="R26" i="2"/>
  <c r="R13" i="2"/>
  <c r="R3" i="2"/>
  <c r="EE6" i="2" l="1"/>
  <c r="DJ6" i="2"/>
  <c r="DF5" i="2"/>
  <c r="DN3" i="2"/>
  <c r="DJ3" i="2"/>
  <c r="DI3" i="2"/>
  <c r="CX28" i="2"/>
  <c r="CW26" i="2"/>
  <c r="CZ23" i="2"/>
  <c r="CX19" i="2"/>
  <c r="CX13" i="2"/>
  <c r="DD7" i="2"/>
  <c r="CW5" i="2"/>
  <c r="CP10" i="2"/>
  <c r="CF19" i="2"/>
  <c r="N34" i="2"/>
  <c r="N33" i="2"/>
  <c r="N32" i="2"/>
  <c r="N31" i="2"/>
  <c r="N30" i="2"/>
  <c r="N29" i="2"/>
  <c r="N28" i="2"/>
  <c r="N24" i="2"/>
  <c r="N23" i="2"/>
  <c r="N22" i="2"/>
  <c r="N21" i="2"/>
  <c r="N20" i="2"/>
  <c r="N19" i="2"/>
  <c r="N18" i="2"/>
  <c r="N17" i="2"/>
  <c r="N16" i="2"/>
  <c r="N15" i="2"/>
  <c r="N14" i="2"/>
  <c r="N13" i="2"/>
  <c r="N11" i="2"/>
  <c r="N10" i="2"/>
  <c r="N9" i="2"/>
  <c r="N8" i="2"/>
  <c r="N7" i="2"/>
  <c r="N6" i="2"/>
  <c r="N5" i="2"/>
  <c r="N4" i="2"/>
  <c r="N3" i="2"/>
  <c r="M34" i="2"/>
  <c r="M33" i="2"/>
  <c r="M32" i="2"/>
  <c r="M31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1" i="2"/>
  <c r="M10" i="2"/>
  <c r="M7" i="2"/>
  <c r="M6" i="2"/>
  <c r="M3" i="2"/>
  <c r="K34" i="2"/>
  <c r="K33" i="2"/>
  <c r="K32" i="2"/>
  <c r="K31" i="2"/>
  <c r="K30" i="2"/>
  <c r="K29" i="2"/>
  <c r="K28" i="2"/>
  <c r="K26" i="2"/>
  <c r="K24" i="2"/>
  <c r="K23" i="2"/>
  <c r="K22" i="2"/>
  <c r="K21" i="2"/>
  <c r="K20" i="2"/>
  <c r="K19" i="2"/>
  <c r="K18" i="2"/>
  <c r="K17" i="2"/>
  <c r="K16" i="2"/>
  <c r="K15" i="2"/>
  <c r="K14" i="2"/>
  <c r="K13" i="2"/>
  <c r="K11" i="2"/>
  <c r="K10" i="2"/>
  <c r="K9" i="2"/>
  <c r="K8" i="2"/>
  <c r="K7" i="2"/>
  <c r="K6" i="2"/>
  <c r="K5" i="2"/>
  <c r="K4" i="2"/>
  <c r="K3" i="2"/>
  <c r="J34" i="2"/>
  <c r="J33" i="2"/>
  <c r="J32" i="2"/>
  <c r="J31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1" i="2"/>
  <c r="J10" i="2"/>
  <c r="J7" i="2"/>
  <c r="J6" i="2"/>
  <c r="J3" i="2"/>
  <c r="DY23" i="2" l="1"/>
  <c r="EF23" i="2"/>
  <c r="DA23" i="2" l="1"/>
  <c r="DZ23" i="2"/>
</calcChain>
</file>

<file path=xl/comments1.xml><?xml version="1.0" encoding="utf-8"?>
<comments xmlns="http://schemas.openxmlformats.org/spreadsheetml/2006/main">
  <authors>
    <author>Rob Edinburgh</author>
  </authors>
  <commentList>
    <comment ref="U28" authorId="0" shapeId="0">
      <text>
        <r>
          <rPr>
            <b/>
            <sz val="9"/>
            <color indexed="81"/>
            <rFont val="Tahoma"/>
            <family val="2"/>
          </rPr>
          <t>Rob Edinburgh:</t>
        </r>
        <r>
          <rPr>
            <sz val="9"/>
            <color indexed="81"/>
            <rFont val="Tahoma"/>
            <family val="2"/>
          </rPr>
          <t xml:space="preserve">
Lower than the training values so interpret with caution</t>
        </r>
      </text>
    </comment>
  </commentList>
</comments>
</file>

<file path=xl/sharedStrings.xml><?xml version="1.0" encoding="utf-8"?>
<sst xmlns="http://schemas.openxmlformats.org/spreadsheetml/2006/main" count="861" uniqueCount="204">
  <si>
    <t>Participant</t>
  </si>
  <si>
    <t>EXERCISE-BREAKFAST</t>
  </si>
  <si>
    <t>BREAKFAST-EXERCISE</t>
  </si>
  <si>
    <t>Plasma glucose concentration (mmol/L)</t>
  </si>
  <si>
    <t>Plasma insulin concentration (pmol/L)</t>
  </si>
  <si>
    <t>Plasma NEFA concentration (mmol/L)</t>
  </si>
  <si>
    <t>Plasma Glycerol concentration (umol/L)</t>
  </si>
  <si>
    <t>Time (min)</t>
  </si>
  <si>
    <t>Whole-body carbohydrate oxidation (kcal)</t>
  </si>
  <si>
    <t>Whole-body fat oxidation (kcal)</t>
  </si>
  <si>
    <t>Exercise-induced change in  lipid droplet area/fibre area in skeletal muscle (%)</t>
  </si>
  <si>
    <t>Type II</t>
  </si>
  <si>
    <t>Type I</t>
  </si>
  <si>
    <t>Exercise-induced change in muscle glycogen concentration (mmol/kgWM)
glycogen concentration (mmol×kgWM-1)</t>
  </si>
  <si>
    <t>(during exercise)</t>
  </si>
  <si>
    <t>Exercise-induced change in mRNA expression (fold-change)
glycogen concentration (mmol×kgWM-1)</t>
  </si>
  <si>
    <t>IRS-1</t>
  </si>
  <si>
    <t>IRS-2</t>
  </si>
  <si>
    <t>Akt</t>
  </si>
  <si>
    <t>GLUT4</t>
  </si>
  <si>
    <t>PDK2</t>
  </si>
  <si>
    <t>PDK4</t>
  </si>
  <si>
    <t>GYG1</t>
  </si>
  <si>
    <t>GS1</t>
  </si>
  <si>
    <t>AMPKa1</t>
  </si>
  <si>
    <t>AMPKa2</t>
  </si>
  <si>
    <t>AMPKb2</t>
  </si>
  <si>
    <t>AMPKy2</t>
  </si>
  <si>
    <t>PGC1a</t>
  </si>
  <si>
    <t>PPARd</t>
  </si>
  <si>
    <t>CD36</t>
  </si>
  <si>
    <t>FABP3</t>
  </si>
  <si>
    <t>FABP4</t>
  </si>
  <si>
    <t>FATP1</t>
  </si>
  <si>
    <t>FATP4</t>
  </si>
  <si>
    <t>CPT1</t>
  </si>
  <si>
    <t>CPT2</t>
  </si>
  <si>
    <t>ACC2</t>
  </si>
  <si>
    <t>b-HAD</t>
  </si>
  <si>
    <t>ATGL</t>
  </si>
  <si>
    <t>HSL</t>
  </si>
  <si>
    <t>ACSL1</t>
  </si>
  <si>
    <t>PPARa</t>
  </si>
  <si>
    <t>ACC1</t>
  </si>
  <si>
    <t>Body Mass (Week 3)</t>
  </si>
  <si>
    <t>Body Mass (Week 6)</t>
  </si>
  <si>
    <t>Body Mass (Baseline)</t>
  </si>
  <si>
    <t>Height</t>
  </si>
  <si>
    <t>(cm)</t>
  </si>
  <si>
    <t>(kg)</t>
  </si>
  <si>
    <t>Body Mass Index (Baseline)</t>
  </si>
  <si>
    <t>Body Mass Index (Week 3)</t>
  </si>
  <si>
    <t>Body Mass Index (Week 6)</t>
  </si>
  <si>
    <t>Waist Circumference (Baseline)</t>
  </si>
  <si>
    <t>Waist Circumference (Week 3)</t>
  </si>
  <si>
    <t>Waist Circumference (Week 6)</t>
  </si>
  <si>
    <t>Hip Circumference (Baseline)</t>
  </si>
  <si>
    <t>Hip Circumference (Week 3)</t>
  </si>
  <si>
    <t>Hip Circumference (Week 6)</t>
  </si>
  <si>
    <t>-</t>
  </si>
  <si>
    <t>VO2peak (Baseline)</t>
  </si>
  <si>
    <t>VO2peak (Week 3)</t>
  </si>
  <si>
    <t>VO2peak (Week 6)</t>
  </si>
  <si>
    <t>Peak fat utilisation (Baseline)</t>
  </si>
  <si>
    <t>Peak fat utilisation (Week 3)</t>
  </si>
  <si>
    <t>Peak fat utilisation (Week 6)</t>
  </si>
  <si>
    <t>Fasting triglceride concentration (Baseline)</t>
  </si>
  <si>
    <t>Fasting triglceride concentration (Week 6)</t>
  </si>
  <si>
    <t>Fasting HDL cholesterol concentration (Baseline)</t>
  </si>
  <si>
    <t>Fasting LDL cholesterol concentration (Baseline)</t>
  </si>
  <si>
    <t>Fasting LDL cholesterol concentration (Week 6)</t>
  </si>
  <si>
    <t>Fasting HDL cholesterol concentration (Week 6)</t>
  </si>
  <si>
    <t>Fasting glycerol concentration (Baseline)</t>
  </si>
  <si>
    <t>Fasting glycerol concentration (Week 6)</t>
  </si>
  <si>
    <t>(kg/m*2)</t>
  </si>
  <si>
    <t>(g/min)</t>
  </si>
  <si>
    <t>(ml/kg/min)</t>
  </si>
  <si>
    <t>(mmol/L)</t>
  </si>
  <si>
    <t>(umol/L)</t>
  </si>
  <si>
    <t>15 min</t>
  </si>
  <si>
    <t>30 min</t>
  </si>
  <si>
    <t>45 min</t>
  </si>
  <si>
    <t>60 min</t>
  </si>
  <si>
    <t>75 min</t>
  </si>
  <si>
    <t>90 min</t>
  </si>
  <si>
    <t>105 min</t>
  </si>
  <si>
    <t>120 min</t>
  </si>
  <si>
    <t>Fasting</t>
  </si>
  <si>
    <t>Plasma glucose concentrations during the OGTT in mmol/L (Baseline)</t>
  </si>
  <si>
    <t>Plasma glucose concentrations during the OGTT in mmol/L (Week 6)</t>
  </si>
  <si>
    <t>Plasma insulin concentrations during the OGTT in pmol/L (Baseline)</t>
  </si>
  <si>
    <t>Plasma insulin concentrations during the OGTT in pmol/L (Week 6)</t>
  </si>
  <si>
    <t>Change in oral glucose insulin sensitivity</t>
  </si>
  <si>
    <t>(ml/min/m*2)</t>
  </si>
  <si>
    <t>Plasma NEFA concentrations during the OGTT in mmol/L (Baseline)</t>
  </si>
  <si>
    <t>Plasma NEFA concentrations during the OGTT in mmol/L (Week 6)</t>
  </si>
  <si>
    <t xml:space="preserve">Fasting </t>
  </si>
  <si>
    <t>Plasma C-peptide concentrations during the OGTT in pmol/L (Baseline)</t>
  </si>
  <si>
    <t>Plasma C-peptide concentrations during the OGTT in pmol/L (Week 6)</t>
  </si>
  <si>
    <t>Self-reported energy intake (Baseline)</t>
  </si>
  <si>
    <t>Total daily energy expenditure (Baseline)</t>
  </si>
  <si>
    <t>Total daily energy expenditure (Week 6)</t>
  </si>
  <si>
    <t>Self-reported energy intake (Week 6)</t>
  </si>
  <si>
    <t>Peak Power Output (Baseline)</t>
  </si>
  <si>
    <t>Peak Power Output (Week 3)</t>
  </si>
  <si>
    <t>Peak Power Output (Week 6)</t>
  </si>
  <si>
    <t>(watts)</t>
  </si>
  <si>
    <t>kcal</t>
  </si>
  <si>
    <t>Complex I</t>
  </si>
  <si>
    <t>Complex II</t>
  </si>
  <si>
    <t>Complex III</t>
  </si>
  <si>
    <t>Complex IV</t>
  </si>
  <si>
    <t>ATP Synthase</t>
  </si>
  <si>
    <t>AMPK</t>
  </si>
  <si>
    <t>pAMPK</t>
  </si>
  <si>
    <t>CHC22</t>
  </si>
  <si>
    <t>CHC17</t>
  </si>
  <si>
    <t>CHC22:17</t>
  </si>
  <si>
    <t>AS160</t>
  </si>
  <si>
    <t>GGA2</t>
  </si>
  <si>
    <t>Western blotting data (fold-change from Week 6 relative to baseline)</t>
  </si>
  <si>
    <t>Plasma glucose time-averaged AUC (Baseline)</t>
  </si>
  <si>
    <t>Plasma glucose time-averaged AUC (Week 6)</t>
  </si>
  <si>
    <t>Plasma insulin time-averaged AUC (Baseline)</t>
  </si>
  <si>
    <t>Plasma insulin time-averaged AUC (Week 6)</t>
  </si>
  <si>
    <t>mmol/L</t>
  </si>
  <si>
    <t>pmol/L</t>
  </si>
  <si>
    <t>(14:0)</t>
  </si>
  <si>
    <t>(16:0)</t>
  </si>
  <si>
    <t xml:space="preserve"> (16:1)</t>
  </si>
  <si>
    <t xml:space="preserve"> (18:0)</t>
  </si>
  <si>
    <t xml:space="preserve"> (18:1n9c)</t>
  </si>
  <si>
    <t>(18:2n6c)</t>
  </si>
  <si>
    <t xml:space="preserve"> (20:0)</t>
  </si>
  <si>
    <t xml:space="preserve"> (C18n3)</t>
  </si>
  <si>
    <t xml:space="preserve"> (22:0)</t>
  </si>
  <si>
    <t xml:space="preserve"> (20:4n6)</t>
  </si>
  <si>
    <t>(24:0)</t>
  </si>
  <si>
    <t xml:space="preserve"> (20:5n3)</t>
  </si>
  <si>
    <t xml:space="preserve"> (24:1)</t>
  </si>
  <si>
    <t>(22:6n3)</t>
  </si>
  <si>
    <t>SUM</t>
  </si>
  <si>
    <t>Phospholipid composition of skeletal muscle in nmol/gram dry tissue mass (Baseline)</t>
  </si>
  <si>
    <t>Phospholipid composition of skeletal muscle in nmol/gram dry tissue mass (Week 6)</t>
  </si>
  <si>
    <t>% (after normalisation to SUM of all species)</t>
  </si>
  <si>
    <t>Sum of all changes in phospholipid species (Week 6 to Baseline)</t>
  </si>
  <si>
    <t>Oral glucose insulin sensitivity index (Baseline)</t>
  </si>
  <si>
    <t>Oral glucose insulin sensitivity index (Week 6)</t>
  </si>
  <si>
    <t>Lipid utilisation session 1</t>
  </si>
  <si>
    <t>Lipid utilisation session 2</t>
  </si>
  <si>
    <t>Lipid utilisation session 3</t>
  </si>
  <si>
    <t>Lipid utilisation session 4</t>
  </si>
  <si>
    <t>Lipid utilisation session 5</t>
  </si>
  <si>
    <t>Lipid utilisation session 6</t>
  </si>
  <si>
    <t>Lipid utilisation session 7</t>
  </si>
  <si>
    <t>Lipid utilisation session 8</t>
  </si>
  <si>
    <t>Lipid utilisation session 9</t>
  </si>
  <si>
    <t>Lipid utilisation session 10</t>
  </si>
  <si>
    <t>Lipid utilisation session 11</t>
  </si>
  <si>
    <t>Lipid utilisation session 12</t>
  </si>
  <si>
    <t>Lipid utilisation session 13</t>
  </si>
  <si>
    <t>Lipid utilisation session 14</t>
  </si>
  <si>
    <t>Lipid utilisation session 15</t>
  </si>
  <si>
    <t>Lipid utilisation session 16</t>
  </si>
  <si>
    <t>Carbohydrate utilisation session 1</t>
  </si>
  <si>
    <t>Carbohydrate utilisation session 2</t>
  </si>
  <si>
    <t>Carbohydrate utilisation session 3</t>
  </si>
  <si>
    <t>Carbohydrate utilisation session 4</t>
  </si>
  <si>
    <t>Carbohydrate utilisation session 5</t>
  </si>
  <si>
    <t>Carbohydrate utilisation session 6</t>
  </si>
  <si>
    <t>Carbohydrate utilisation session 7</t>
  </si>
  <si>
    <t>Carbohydrate utilisation session 8</t>
  </si>
  <si>
    <t>Carbohydrate utilisation session 9</t>
  </si>
  <si>
    <t>Carbohydrate utilisation session 10</t>
  </si>
  <si>
    <t>Carbohydrate utilisation session 11</t>
  </si>
  <si>
    <t>Carbohydrate utilisation session 12</t>
  </si>
  <si>
    <t>Carbohydrate utilisation session 13</t>
  </si>
  <si>
    <t>Carbohydrate utilisation session 14</t>
  </si>
  <si>
    <t>Carbohydrate utilisation session 15</t>
  </si>
  <si>
    <t>Carbohydrate utilisation session 16</t>
  </si>
  <si>
    <t>(kcal)</t>
  </si>
  <si>
    <t>Cumulative lipid utilisation (all sessions)</t>
  </si>
  <si>
    <t>Cumulative carbohydrate utilisation (all sessions)</t>
  </si>
  <si>
    <t>Energy expenditure session 1</t>
  </si>
  <si>
    <t>Energy expenditure session 2</t>
  </si>
  <si>
    <t>Energy expenditure session 3</t>
  </si>
  <si>
    <t>Energy expenditure session 4</t>
  </si>
  <si>
    <t>Energy expenditure session 5</t>
  </si>
  <si>
    <t>Energy expenditure session 6</t>
  </si>
  <si>
    <t>Energy expenditure session 7</t>
  </si>
  <si>
    <t>Energy expenditure session 8</t>
  </si>
  <si>
    <t>Energy expenditure session 9</t>
  </si>
  <si>
    <t>Energy expenditure session 10</t>
  </si>
  <si>
    <t>Energy expenditure session 11</t>
  </si>
  <si>
    <t>Energy expenditure session 12</t>
  </si>
  <si>
    <t>Energy expenditure session 13</t>
  </si>
  <si>
    <t>Energy expenditure session 14</t>
  </si>
  <si>
    <t>Energy expenditure session 15</t>
  </si>
  <si>
    <t>Energy expenditure session 16</t>
  </si>
  <si>
    <t>Cumulative energy expenditure (all sessions)</t>
  </si>
  <si>
    <t>CONTROL</t>
  </si>
  <si>
    <t>Citrate Synthase Activity (Baseline)</t>
  </si>
  <si>
    <t>umol/min/mg of dry weight</t>
  </si>
  <si>
    <t>Citrate Synthase Activity (Follow-Up)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</si>
</sst>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3" fillId="0" borderId="0" xfId="0" applyNumberFormat="1" applyFont="1" applyAlignment="1">
      <alignment horizontal="center"/>
    </xf>
    <xf numFmtId="165" fontId="0" fillId="0" borderId="0" xfId="0" applyNumberFormat="1" applyFo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opLeftCell="A46" workbookViewId="0">
      <selection activeCell="G47" sqref="G47"/>
    </sheetView>
  </sheetViews>
  <sheetFormatPr defaultRowHeight="15" x14ac:dyDescent="0.25"/>
  <cols>
    <col min="1" max="1" width="20" style="2" bestFit="1" customWidth="1"/>
    <col min="34" max="34" width="39.28515625" bestFit="1" customWidth="1"/>
    <col min="35" max="35" width="29.7109375" bestFit="1" customWidth="1"/>
  </cols>
  <sheetData>
    <row r="1" spans="1:35" x14ac:dyDescent="0.25">
      <c r="A1" s="2" t="s">
        <v>1</v>
      </c>
      <c r="B1" s="42" t="s">
        <v>3</v>
      </c>
      <c r="C1" s="42"/>
      <c r="D1" s="42"/>
      <c r="E1" s="42"/>
      <c r="F1" s="42"/>
      <c r="G1" s="42"/>
      <c r="H1" s="42"/>
      <c r="I1" s="42"/>
      <c r="J1" s="42" t="s">
        <v>4</v>
      </c>
      <c r="K1" s="42"/>
      <c r="L1" s="42"/>
      <c r="M1" s="42"/>
      <c r="N1" s="42"/>
      <c r="O1" s="42"/>
      <c r="P1" s="42"/>
      <c r="Q1" s="42"/>
      <c r="R1" s="42" t="s">
        <v>5</v>
      </c>
      <c r="S1" s="42"/>
      <c r="T1" s="42"/>
      <c r="U1" s="42"/>
      <c r="V1" s="42"/>
      <c r="W1" s="42"/>
      <c r="X1" s="42"/>
      <c r="Y1" s="42"/>
      <c r="Z1" s="42" t="s">
        <v>6</v>
      </c>
      <c r="AA1" s="42"/>
      <c r="AB1" s="42"/>
      <c r="AC1" s="42"/>
      <c r="AD1" s="42"/>
      <c r="AE1" s="42"/>
      <c r="AF1" s="42"/>
      <c r="AG1" s="42"/>
      <c r="AH1" s="2" t="s">
        <v>8</v>
      </c>
      <c r="AI1" s="2" t="s">
        <v>9</v>
      </c>
    </row>
    <row r="2" spans="1:35" x14ac:dyDescent="0.25">
      <c r="A2" s="2" t="s">
        <v>7</v>
      </c>
      <c r="B2" s="2">
        <v>0</v>
      </c>
      <c r="C2" s="2">
        <v>45</v>
      </c>
      <c r="D2" s="2">
        <v>90</v>
      </c>
      <c r="E2" s="2">
        <v>120</v>
      </c>
      <c r="F2" s="2">
        <v>150</v>
      </c>
      <c r="G2" s="2">
        <v>210</v>
      </c>
      <c r="H2" s="2">
        <v>270</v>
      </c>
      <c r="I2" s="2">
        <v>330</v>
      </c>
      <c r="J2" s="2">
        <v>0</v>
      </c>
      <c r="K2" s="2">
        <v>45</v>
      </c>
      <c r="L2" s="2">
        <v>90</v>
      </c>
      <c r="M2" s="2">
        <v>120</v>
      </c>
      <c r="N2" s="2">
        <v>150</v>
      </c>
      <c r="O2" s="2">
        <v>210</v>
      </c>
      <c r="P2" s="2">
        <v>270</v>
      </c>
      <c r="Q2" s="2">
        <v>330</v>
      </c>
      <c r="R2" s="2">
        <v>0</v>
      </c>
      <c r="S2" s="2">
        <v>45</v>
      </c>
      <c r="T2" s="2">
        <v>90</v>
      </c>
      <c r="U2" s="2">
        <v>120</v>
      </c>
      <c r="V2" s="2">
        <v>150</v>
      </c>
      <c r="W2" s="2">
        <v>210</v>
      </c>
      <c r="X2" s="2">
        <v>270</v>
      </c>
      <c r="Y2" s="2">
        <v>330</v>
      </c>
      <c r="Z2" s="2">
        <v>0</v>
      </c>
      <c r="AA2" s="2">
        <v>45</v>
      </c>
      <c r="AB2" s="2">
        <v>90</v>
      </c>
      <c r="AC2" s="2">
        <v>120</v>
      </c>
      <c r="AD2" s="2">
        <v>150</v>
      </c>
      <c r="AE2" s="2">
        <v>210</v>
      </c>
      <c r="AF2" s="2">
        <v>270</v>
      </c>
      <c r="AG2" s="2">
        <v>330</v>
      </c>
      <c r="AH2" s="4" t="s">
        <v>14</v>
      </c>
      <c r="AI2" s="4" t="s">
        <v>14</v>
      </c>
    </row>
    <row r="3" spans="1:35" x14ac:dyDescent="0.25">
      <c r="A3" s="2">
        <v>1</v>
      </c>
      <c r="B3" s="6">
        <v>6.5</v>
      </c>
      <c r="C3" s="6">
        <v>6.61</v>
      </c>
      <c r="D3" s="6">
        <v>6.53</v>
      </c>
      <c r="E3" s="6">
        <v>6.6</v>
      </c>
      <c r="F3" s="6">
        <v>6.69</v>
      </c>
      <c r="G3" s="6">
        <v>14.69</v>
      </c>
      <c r="H3" s="6">
        <v>13.78</v>
      </c>
      <c r="I3" s="6">
        <v>10.88</v>
      </c>
      <c r="J3" s="6">
        <v>38.090000000000003</v>
      </c>
      <c r="K3" s="6">
        <v>34.119999999999997</v>
      </c>
      <c r="L3" s="6">
        <v>36.64</v>
      </c>
      <c r="M3" s="6">
        <v>34.64</v>
      </c>
      <c r="N3" s="6">
        <v>33.409999999999997</v>
      </c>
      <c r="O3" s="6">
        <v>350.32</v>
      </c>
      <c r="P3" s="6">
        <v>589.15</v>
      </c>
      <c r="Q3" s="6">
        <v>681.85</v>
      </c>
      <c r="R3" s="6">
        <v>0.56000000000000005</v>
      </c>
      <c r="S3" s="6">
        <v>0.68</v>
      </c>
      <c r="T3" s="6">
        <v>0.49</v>
      </c>
      <c r="U3" s="6">
        <v>0.45</v>
      </c>
      <c r="V3" s="6">
        <v>0.59</v>
      </c>
      <c r="W3" s="6">
        <v>0.49</v>
      </c>
      <c r="X3" s="6">
        <v>0.22</v>
      </c>
      <c r="Y3" s="6">
        <v>0.15</v>
      </c>
      <c r="Z3" s="6">
        <v>43.5</v>
      </c>
      <c r="AA3" s="6">
        <v>61.5</v>
      </c>
      <c r="AB3" s="6">
        <v>50</v>
      </c>
      <c r="AC3" s="6">
        <v>98</v>
      </c>
      <c r="AD3" s="6">
        <v>136.5</v>
      </c>
      <c r="AE3" s="6">
        <v>34.5</v>
      </c>
      <c r="AF3" s="6">
        <v>23</v>
      </c>
      <c r="AG3" s="6">
        <v>28</v>
      </c>
      <c r="AH3" s="7">
        <v>418</v>
      </c>
      <c r="AI3" s="7">
        <v>141</v>
      </c>
    </row>
    <row r="4" spans="1:35" x14ac:dyDescent="0.25">
      <c r="A4" s="2">
        <v>2</v>
      </c>
      <c r="B4" s="6">
        <v>6.01</v>
      </c>
      <c r="C4" s="6">
        <v>6.09</v>
      </c>
      <c r="D4" s="6">
        <v>6.43</v>
      </c>
      <c r="E4" s="6">
        <v>6.35</v>
      </c>
      <c r="F4" s="6">
        <v>6.37</v>
      </c>
      <c r="G4" s="6">
        <v>8.93</v>
      </c>
      <c r="H4" s="6">
        <v>6.77</v>
      </c>
      <c r="I4" s="6">
        <v>6.05</v>
      </c>
      <c r="J4" s="6">
        <v>30.88</v>
      </c>
      <c r="K4" s="6">
        <v>32.11</v>
      </c>
      <c r="L4" s="6">
        <v>27.4</v>
      </c>
      <c r="M4" s="6">
        <v>23.02</v>
      </c>
      <c r="N4" s="6">
        <v>17.52</v>
      </c>
      <c r="O4" s="6">
        <v>245.2</v>
      </c>
      <c r="P4" s="6">
        <v>153</v>
      </c>
      <c r="Q4" s="6">
        <v>83.7</v>
      </c>
      <c r="R4" s="6">
        <v>0.46</v>
      </c>
      <c r="S4" s="6">
        <v>0.34</v>
      </c>
      <c r="T4" s="6">
        <v>0.25</v>
      </c>
      <c r="U4" s="6">
        <v>0.27</v>
      </c>
      <c r="V4" s="6">
        <v>0.47</v>
      </c>
      <c r="W4" s="6">
        <v>0.26</v>
      </c>
      <c r="X4" s="6">
        <v>0.09</v>
      </c>
      <c r="Y4" s="6">
        <v>0.08</v>
      </c>
      <c r="Z4" s="6">
        <v>25</v>
      </c>
      <c r="AA4" s="6">
        <v>23</v>
      </c>
      <c r="AB4" s="6">
        <v>18</v>
      </c>
      <c r="AC4" s="6">
        <v>43.5</v>
      </c>
      <c r="AD4" s="6">
        <v>83</v>
      </c>
      <c r="AE4" s="6">
        <v>18.5</v>
      </c>
      <c r="AF4" s="6">
        <v>14</v>
      </c>
      <c r="AG4" s="6">
        <v>12</v>
      </c>
      <c r="AH4" s="7">
        <v>430</v>
      </c>
      <c r="AI4" s="7">
        <v>190</v>
      </c>
    </row>
    <row r="5" spans="1:35" x14ac:dyDescent="0.25">
      <c r="A5" s="2">
        <v>3</v>
      </c>
      <c r="B5" s="6">
        <v>6.18</v>
      </c>
      <c r="C5" s="6">
        <v>5.69</v>
      </c>
      <c r="D5" s="6">
        <v>5.04</v>
      </c>
      <c r="E5" s="6">
        <v>6.28</v>
      </c>
      <c r="F5" s="6">
        <v>6.64</v>
      </c>
      <c r="G5" s="6">
        <v>5.82</v>
      </c>
      <c r="H5" s="6">
        <v>6.17</v>
      </c>
      <c r="I5" s="6">
        <v>5.72</v>
      </c>
      <c r="J5" s="6">
        <v>52.24</v>
      </c>
      <c r="K5" s="6">
        <v>40.85</v>
      </c>
      <c r="L5" s="6">
        <v>31.88</v>
      </c>
      <c r="M5" s="6">
        <v>31.66</v>
      </c>
      <c r="N5" s="6">
        <v>28.49</v>
      </c>
      <c r="O5" s="6">
        <v>102.3</v>
      </c>
      <c r="P5" s="6">
        <v>73.7</v>
      </c>
      <c r="Q5" s="6">
        <v>32.5</v>
      </c>
      <c r="R5" s="6">
        <v>0.55000000000000004</v>
      </c>
      <c r="S5" s="6">
        <v>0.15</v>
      </c>
      <c r="T5" s="6">
        <v>0.35</v>
      </c>
      <c r="U5" s="6">
        <v>0.17</v>
      </c>
      <c r="V5" s="6">
        <v>0.27</v>
      </c>
      <c r="W5" s="6">
        <v>0.47</v>
      </c>
      <c r="X5" s="6">
        <v>0.7</v>
      </c>
      <c r="Y5" s="6">
        <v>0.62</v>
      </c>
      <c r="Z5" s="6">
        <v>31</v>
      </c>
      <c r="AA5" s="6">
        <v>30.5</v>
      </c>
      <c r="AB5" s="6">
        <v>21.5</v>
      </c>
      <c r="AC5" s="6">
        <v>42.5</v>
      </c>
      <c r="AD5" s="6">
        <v>69</v>
      </c>
      <c r="AE5" s="6">
        <v>32</v>
      </c>
      <c r="AF5" s="6">
        <v>17</v>
      </c>
      <c r="AG5" s="6">
        <v>22.5</v>
      </c>
      <c r="AH5" s="7">
        <v>417</v>
      </c>
      <c r="AI5" s="7">
        <v>133</v>
      </c>
    </row>
    <row r="6" spans="1:35" x14ac:dyDescent="0.25">
      <c r="A6" s="2">
        <v>4</v>
      </c>
      <c r="B6" s="6">
        <v>6.8</v>
      </c>
      <c r="C6" s="6">
        <v>6.63</v>
      </c>
      <c r="D6" s="6">
        <v>6.65</v>
      </c>
      <c r="E6" s="6">
        <v>5.91</v>
      </c>
      <c r="F6" s="6">
        <v>6.17</v>
      </c>
      <c r="G6" s="6">
        <v>9.5399999999999991</v>
      </c>
      <c r="H6" s="6">
        <v>7.62</v>
      </c>
      <c r="I6" s="6">
        <v>7.5</v>
      </c>
      <c r="J6" s="6">
        <v>24.15</v>
      </c>
      <c r="K6" s="6">
        <v>18.12</v>
      </c>
      <c r="L6" s="6">
        <v>17.12</v>
      </c>
      <c r="M6" s="6">
        <v>10.23</v>
      </c>
      <c r="N6" s="6">
        <v>9.2899999999999991</v>
      </c>
      <c r="O6" s="6">
        <v>82.2</v>
      </c>
      <c r="P6" s="6">
        <v>65.7</v>
      </c>
      <c r="Q6" s="6">
        <v>53.5</v>
      </c>
      <c r="R6" s="6">
        <v>0.59</v>
      </c>
      <c r="S6" s="6">
        <v>0.4</v>
      </c>
      <c r="T6" s="6">
        <v>0.62</v>
      </c>
      <c r="U6" s="6">
        <v>0.26</v>
      </c>
      <c r="V6" s="6">
        <v>0.44</v>
      </c>
      <c r="W6" s="6">
        <v>0.64</v>
      </c>
      <c r="X6" s="6">
        <v>0.12</v>
      </c>
      <c r="Y6" s="6">
        <v>0.05</v>
      </c>
      <c r="Z6" s="6">
        <v>52</v>
      </c>
      <c r="AA6" s="6">
        <v>22.5</v>
      </c>
      <c r="AB6" s="6">
        <v>40</v>
      </c>
      <c r="AC6" s="6">
        <v>66</v>
      </c>
      <c r="AD6" s="6">
        <v>129.5</v>
      </c>
      <c r="AE6" s="6">
        <v>31.5</v>
      </c>
      <c r="AF6" s="6">
        <v>18</v>
      </c>
      <c r="AG6" s="6">
        <v>20</v>
      </c>
      <c r="AH6" s="7">
        <v>434</v>
      </c>
      <c r="AI6" s="7">
        <v>232</v>
      </c>
    </row>
    <row r="7" spans="1:35" x14ac:dyDescent="0.25">
      <c r="A7" s="2">
        <v>5</v>
      </c>
      <c r="B7" s="6">
        <v>5.22</v>
      </c>
      <c r="C7" s="6">
        <v>5.7</v>
      </c>
      <c r="D7" s="6">
        <v>5.89</v>
      </c>
      <c r="E7" s="6">
        <v>5.52</v>
      </c>
      <c r="F7" s="6">
        <v>5.91</v>
      </c>
      <c r="G7" s="6">
        <v>7.3</v>
      </c>
      <c r="H7" s="6">
        <v>5.48</v>
      </c>
      <c r="I7" s="6">
        <v>4.6900000000000004</v>
      </c>
      <c r="J7" s="6">
        <v>16.38</v>
      </c>
      <c r="K7" s="6">
        <v>16.600000000000001</v>
      </c>
      <c r="L7" s="6">
        <v>27.59</v>
      </c>
      <c r="M7" s="6">
        <v>26.88</v>
      </c>
      <c r="N7" s="6">
        <v>24.26</v>
      </c>
      <c r="O7" s="6">
        <v>87.7</v>
      </c>
      <c r="P7" s="6">
        <v>66.2</v>
      </c>
      <c r="Q7" s="6">
        <v>43.3</v>
      </c>
      <c r="R7" s="6">
        <v>0.92</v>
      </c>
      <c r="S7" s="6">
        <v>1.05</v>
      </c>
      <c r="T7" s="6">
        <v>1.2</v>
      </c>
      <c r="U7" s="6">
        <v>1.07</v>
      </c>
      <c r="V7" s="6">
        <v>1.71</v>
      </c>
      <c r="W7" s="6">
        <v>1.0900000000000001</v>
      </c>
      <c r="X7" s="6">
        <v>0.24</v>
      </c>
      <c r="Y7" s="6">
        <v>0.14000000000000001</v>
      </c>
      <c r="Z7" s="6">
        <v>48</v>
      </c>
      <c r="AA7" s="6">
        <v>12</v>
      </c>
      <c r="AB7" s="6">
        <v>41</v>
      </c>
      <c r="AC7" s="6">
        <v>109.5</v>
      </c>
      <c r="AD7" s="6">
        <v>231</v>
      </c>
      <c r="AE7" s="6">
        <v>13.5</v>
      </c>
      <c r="AF7" s="6">
        <v>28</v>
      </c>
      <c r="AG7" s="6">
        <v>25</v>
      </c>
      <c r="AH7" s="7">
        <v>386</v>
      </c>
      <c r="AI7" s="7">
        <v>226</v>
      </c>
    </row>
    <row r="8" spans="1:35" x14ac:dyDescent="0.25">
      <c r="A8" s="2">
        <v>6</v>
      </c>
      <c r="B8" s="6">
        <v>5.56</v>
      </c>
      <c r="C8" s="6">
        <v>5.58</v>
      </c>
      <c r="D8" s="6">
        <v>5.58</v>
      </c>
      <c r="E8" s="6">
        <v>5.33</v>
      </c>
      <c r="F8" s="6">
        <v>5.22</v>
      </c>
      <c r="G8" s="6">
        <v>9.33</v>
      </c>
      <c r="H8" s="6">
        <v>10.89</v>
      </c>
      <c r="I8" s="6">
        <v>6.96</v>
      </c>
      <c r="J8" s="6">
        <v>19.78</v>
      </c>
      <c r="K8" s="6">
        <v>13.8</v>
      </c>
      <c r="L8" s="6">
        <v>17.309999999999999</v>
      </c>
      <c r="M8" s="6">
        <v>16.54</v>
      </c>
      <c r="N8" s="6">
        <v>16.489999999999998</v>
      </c>
      <c r="O8" s="6">
        <v>170.9</v>
      </c>
      <c r="P8" s="6">
        <v>362.53</v>
      </c>
      <c r="Q8" s="6">
        <v>162.37</v>
      </c>
      <c r="R8" s="6">
        <v>0.28000000000000003</v>
      </c>
      <c r="S8" s="6">
        <v>0.15</v>
      </c>
      <c r="T8" s="6">
        <v>0.12</v>
      </c>
      <c r="U8" s="6">
        <v>0.11</v>
      </c>
      <c r="V8" s="6">
        <v>0.21</v>
      </c>
      <c r="W8" s="6">
        <v>0.13</v>
      </c>
      <c r="X8" s="6">
        <v>0.04</v>
      </c>
      <c r="Y8" s="6">
        <v>0.02</v>
      </c>
      <c r="Z8" s="6">
        <v>35.5</v>
      </c>
      <c r="AA8" s="6">
        <v>24</v>
      </c>
      <c r="AB8" s="6">
        <v>18</v>
      </c>
      <c r="AC8" s="6">
        <v>43.5</v>
      </c>
      <c r="AD8" s="6">
        <v>79.5</v>
      </c>
      <c r="AE8" s="6">
        <v>25</v>
      </c>
      <c r="AF8" s="6">
        <v>18</v>
      </c>
      <c r="AG8" s="6">
        <v>17.5</v>
      </c>
      <c r="AH8" s="7">
        <v>405</v>
      </c>
      <c r="AI8" s="7">
        <v>125</v>
      </c>
    </row>
    <row r="9" spans="1:35" x14ac:dyDescent="0.25">
      <c r="A9" s="2">
        <v>7</v>
      </c>
      <c r="B9" s="6">
        <v>5.41</v>
      </c>
      <c r="C9" s="6">
        <v>5.39</v>
      </c>
      <c r="D9" s="6">
        <v>5.76</v>
      </c>
      <c r="E9" s="6">
        <v>5.94</v>
      </c>
      <c r="F9" s="6">
        <v>5.4</v>
      </c>
      <c r="G9" s="6">
        <v>9.41</v>
      </c>
      <c r="H9" s="6">
        <v>7.17</v>
      </c>
      <c r="I9" s="6">
        <v>5.66</v>
      </c>
      <c r="J9" s="6">
        <v>9.67</v>
      </c>
      <c r="K9" s="6">
        <v>16.059999999999999</v>
      </c>
      <c r="L9" s="6">
        <v>9.1</v>
      </c>
      <c r="M9" s="6">
        <v>8.77</v>
      </c>
      <c r="N9" s="6">
        <v>2.9</v>
      </c>
      <c r="O9" s="6">
        <v>122.99</v>
      </c>
      <c r="P9" s="6">
        <v>104.13</v>
      </c>
      <c r="Q9" s="6">
        <v>20.64</v>
      </c>
      <c r="R9" s="6">
        <v>0.64</v>
      </c>
      <c r="S9" s="6">
        <v>0.65</v>
      </c>
      <c r="T9" s="6">
        <v>0.77</v>
      </c>
      <c r="U9" s="6">
        <v>0.44</v>
      </c>
      <c r="V9" s="6">
        <v>0.72</v>
      </c>
      <c r="W9" s="6">
        <v>0.64</v>
      </c>
      <c r="X9" s="6">
        <v>0.31</v>
      </c>
      <c r="Y9" s="6">
        <v>0.28999999999999998</v>
      </c>
      <c r="Z9" s="6">
        <v>64</v>
      </c>
      <c r="AA9" s="6">
        <v>51.5</v>
      </c>
      <c r="AB9" s="6">
        <v>52.5</v>
      </c>
      <c r="AC9" s="6">
        <v>107</v>
      </c>
      <c r="AD9" s="6">
        <v>167.5</v>
      </c>
      <c r="AE9" s="6">
        <v>72</v>
      </c>
      <c r="AF9" s="6">
        <v>61.5</v>
      </c>
      <c r="AG9" s="6">
        <v>49.5</v>
      </c>
      <c r="AH9" s="7">
        <v>332</v>
      </c>
      <c r="AI9" s="7">
        <v>144</v>
      </c>
    </row>
    <row r="10" spans="1:35" x14ac:dyDescent="0.25">
      <c r="A10" s="2">
        <v>8</v>
      </c>
      <c r="B10" s="6">
        <v>5.2</v>
      </c>
      <c r="C10" s="6">
        <v>5.17</v>
      </c>
      <c r="D10" s="6">
        <v>5.59</v>
      </c>
      <c r="E10" s="6">
        <v>6.36</v>
      </c>
      <c r="F10" s="6">
        <v>6.11</v>
      </c>
      <c r="G10" s="6">
        <v>8.25</v>
      </c>
      <c r="H10" s="6">
        <v>6.82</v>
      </c>
      <c r="I10" s="6">
        <v>5.26</v>
      </c>
      <c r="J10" s="6">
        <v>20.83</v>
      </c>
      <c r="K10" s="6">
        <v>8.7100000000000009</v>
      </c>
      <c r="L10" s="6">
        <v>17.25</v>
      </c>
      <c r="M10" s="6">
        <v>17.149999999999999</v>
      </c>
      <c r="N10" s="6">
        <v>13.16</v>
      </c>
      <c r="O10" s="6">
        <v>158.47</v>
      </c>
      <c r="P10" s="6">
        <v>90.51</v>
      </c>
      <c r="Q10" s="6">
        <v>65.48</v>
      </c>
      <c r="R10" s="6">
        <v>0.93</v>
      </c>
      <c r="S10" s="6">
        <v>0.49</v>
      </c>
      <c r="T10" s="6">
        <v>0.82</v>
      </c>
      <c r="U10" s="6">
        <v>0.71</v>
      </c>
      <c r="V10" s="6">
        <v>0.9</v>
      </c>
      <c r="W10" s="6">
        <v>0.56999999999999995</v>
      </c>
      <c r="X10" s="6">
        <v>0.23</v>
      </c>
      <c r="Y10" s="6">
        <v>0.11</v>
      </c>
      <c r="Z10" s="6">
        <v>87.5</v>
      </c>
      <c r="AA10" s="6">
        <v>76</v>
      </c>
      <c r="AB10" s="6">
        <v>61</v>
      </c>
      <c r="AC10" s="6">
        <v>198.5</v>
      </c>
      <c r="AD10" s="6">
        <v>225</v>
      </c>
      <c r="AE10" s="6">
        <v>54</v>
      </c>
      <c r="AF10" s="6">
        <v>33.5</v>
      </c>
      <c r="AG10" s="6">
        <v>35.5</v>
      </c>
      <c r="AH10" s="7">
        <v>587</v>
      </c>
      <c r="AI10" s="7">
        <v>216</v>
      </c>
    </row>
    <row r="11" spans="1:35" x14ac:dyDescent="0.25">
      <c r="A11" s="2">
        <v>9</v>
      </c>
      <c r="B11" s="6">
        <v>5.14</v>
      </c>
      <c r="C11" s="6">
        <v>5.13</v>
      </c>
      <c r="D11" s="6">
        <v>5.0999999999999996</v>
      </c>
      <c r="E11" s="6">
        <v>5.1100000000000003</v>
      </c>
      <c r="F11" s="6">
        <v>5.55</v>
      </c>
      <c r="G11" s="6">
        <v>8.5500000000000007</v>
      </c>
      <c r="H11" s="6">
        <v>5.77</v>
      </c>
      <c r="I11" s="6">
        <v>4.88</v>
      </c>
      <c r="J11" s="6">
        <v>41.38</v>
      </c>
      <c r="K11" s="6">
        <v>20.83</v>
      </c>
      <c r="L11" s="6">
        <v>26.95</v>
      </c>
      <c r="M11" s="6">
        <v>17.72</v>
      </c>
      <c r="N11" s="6">
        <v>7.37</v>
      </c>
      <c r="O11" s="6">
        <v>495.33</v>
      </c>
      <c r="P11" s="6">
        <v>168.9</v>
      </c>
      <c r="Q11" s="6">
        <v>62.95</v>
      </c>
      <c r="R11" s="6">
        <v>0.55000000000000004</v>
      </c>
      <c r="S11" s="6">
        <v>0.37</v>
      </c>
      <c r="T11" s="6">
        <v>0.55000000000000004</v>
      </c>
      <c r="U11" s="6">
        <v>0.31</v>
      </c>
      <c r="V11" s="6">
        <v>0.65</v>
      </c>
      <c r="W11" s="6">
        <v>0.37</v>
      </c>
      <c r="X11" s="6">
        <v>0.22</v>
      </c>
      <c r="Y11" s="6">
        <v>0.15</v>
      </c>
      <c r="Z11" s="6">
        <v>56.5</v>
      </c>
      <c r="AA11" s="6">
        <v>33</v>
      </c>
      <c r="AB11" s="6">
        <v>41.5</v>
      </c>
      <c r="AC11" s="6">
        <v>89.5</v>
      </c>
      <c r="AD11" s="6">
        <v>187</v>
      </c>
      <c r="AE11" s="6">
        <v>29</v>
      </c>
      <c r="AF11" s="6">
        <v>23.5</v>
      </c>
      <c r="AG11" s="6">
        <v>35</v>
      </c>
      <c r="AH11" s="7">
        <v>340</v>
      </c>
      <c r="AI11" s="7">
        <v>225</v>
      </c>
    </row>
    <row r="12" spans="1:35" x14ac:dyDescent="0.25">
      <c r="A12" s="2">
        <v>10</v>
      </c>
      <c r="B12" s="6">
        <v>5.58</v>
      </c>
      <c r="C12" s="6">
        <v>5.54</v>
      </c>
      <c r="D12" s="6">
        <v>5.31</v>
      </c>
      <c r="E12" s="6">
        <v>5.72</v>
      </c>
      <c r="F12" s="6">
        <v>5.63</v>
      </c>
      <c r="G12" s="6">
        <v>8.6</v>
      </c>
      <c r="H12" s="6">
        <v>7.57</v>
      </c>
      <c r="I12" s="6">
        <v>5.3</v>
      </c>
      <c r="J12" s="6">
        <v>23.87</v>
      </c>
      <c r="K12" s="6">
        <v>18.079999999999998</v>
      </c>
      <c r="L12" s="6">
        <v>18.760000000000002</v>
      </c>
      <c r="M12" s="6">
        <v>17.45</v>
      </c>
      <c r="N12" s="6">
        <v>14.33</v>
      </c>
      <c r="O12" s="6">
        <v>142.99</v>
      </c>
      <c r="P12" s="6">
        <v>108.22</v>
      </c>
      <c r="Q12" s="6">
        <v>75.53</v>
      </c>
      <c r="R12" s="6">
        <v>0.49</v>
      </c>
      <c r="S12" s="6">
        <v>0.34</v>
      </c>
      <c r="T12" s="6">
        <v>0.62</v>
      </c>
      <c r="U12" s="6">
        <v>0.59</v>
      </c>
      <c r="V12" s="6">
        <v>1.01</v>
      </c>
      <c r="W12" s="6">
        <v>0.42</v>
      </c>
      <c r="X12" s="6">
        <v>0.11</v>
      </c>
      <c r="Y12" s="6">
        <v>0.06</v>
      </c>
      <c r="Z12" s="6">
        <v>39</v>
      </c>
      <c r="AA12" s="6">
        <v>30.5</v>
      </c>
      <c r="AB12" s="6">
        <v>40.5</v>
      </c>
      <c r="AC12" s="6">
        <v>126</v>
      </c>
      <c r="AD12" s="6">
        <v>205.5</v>
      </c>
      <c r="AE12" s="6">
        <v>33.5</v>
      </c>
      <c r="AF12" s="6">
        <v>20.5</v>
      </c>
      <c r="AG12" s="6">
        <v>30</v>
      </c>
      <c r="AH12" s="7">
        <v>147</v>
      </c>
      <c r="AI12" s="7">
        <v>169</v>
      </c>
    </row>
    <row r="13" spans="1:35" x14ac:dyDescent="0.25">
      <c r="A13" s="2">
        <v>11</v>
      </c>
      <c r="B13" s="6">
        <v>5.17</v>
      </c>
      <c r="C13" s="6">
        <v>5.1100000000000003</v>
      </c>
      <c r="D13" s="6">
        <v>5.04</v>
      </c>
      <c r="E13" s="6">
        <v>5.52</v>
      </c>
      <c r="F13" s="6">
        <v>5.5</v>
      </c>
      <c r="G13" s="6">
        <v>8.2200000000000006</v>
      </c>
      <c r="H13" s="6">
        <v>7.28</v>
      </c>
      <c r="I13" s="6">
        <v>6.36</v>
      </c>
      <c r="J13" s="6">
        <v>22.4</v>
      </c>
      <c r="K13" s="6">
        <v>19.850000000000001</v>
      </c>
      <c r="L13" s="6">
        <v>22.15</v>
      </c>
      <c r="M13" s="6">
        <v>18.43</v>
      </c>
      <c r="N13" s="6">
        <v>19.239999999999998</v>
      </c>
      <c r="O13" s="6">
        <v>147.87</v>
      </c>
      <c r="P13" s="6">
        <v>136.46</v>
      </c>
      <c r="Q13" s="6">
        <v>106.08</v>
      </c>
      <c r="R13" s="6">
        <v>0.51</v>
      </c>
      <c r="S13" s="6">
        <v>0.42</v>
      </c>
      <c r="T13" s="6">
        <v>0.4</v>
      </c>
      <c r="U13" s="6">
        <v>0.35</v>
      </c>
      <c r="V13" s="6">
        <v>0.53</v>
      </c>
      <c r="W13" s="6">
        <v>0.38</v>
      </c>
      <c r="X13" s="6">
        <v>0.22</v>
      </c>
      <c r="Y13" s="6">
        <v>0.11</v>
      </c>
      <c r="Z13" s="6">
        <v>44.5</v>
      </c>
      <c r="AA13" s="6">
        <v>38</v>
      </c>
      <c r="AB13" s="6">
        <v>42.5</v>
      </c>
      <c r="AC13" s="6">
        <v>81</v>
      </c>
      <c r="AD13" s="6">
        <v>118</v>
      </c>
      <c r="AE13" s="6">
        <v>26.5</v>
      </c>
      <c r="AF13" s="6">
        <v>25</v>
      </c>
      <c r="AG13" s="6">
        <v>18</v>
      </c>
      <c r="AH13" s="7">
        <v>295</v>
      </c>
      <c r="AI13" s="7">
        <v>117</v>
      </c>
    </row>
    <row r="14" spans="1:35" x14ac:dyDescent="0.25">
      <c r="A14" s="2">
        <v>12</v>
      </c>
      <c r="B14" s="6">
        <v>4.71</v>
      </c>
      <c r="C14" s="6">
        <v>4.49</v>
      </c>
      <c r="D14" s="6">
        <v>4.57</v>
      </c>
      <c r="E14" s="6">
        <v>4.3600000000000003</v>
      </c>
      <c r="F14" s="6">
        <v>4.33</v>
      </c>
      <c r="G14" s="6">
        <v>8.64</v>
      </c>
      <c r="H14" s="6">
        <v>7.1</v>
      </c>
      <c r="I14" s="6">
        <v>6.56</v>
      </c>
      <c r="J14" s="6">
        <v>17.28</v>
      </c>
      <c r="K14" s="6">
        <v>12.09</v>
      </c>
      <c r="L14" s="6">
        <v>17.07</v>
      </c>
      <c r="M14" s="6">
        <v>13.27</v>
      </c>
      <c r="N14" s="6">
        <v>12.68</v>
      </c>
      <c r="O14" s="6">
        <v>90.23</v>
      </c>
      <c r="P14" s="6">
        <v>145.25</v>
      </c>
      <c r="Q14" s="6">
        <v>70.53</v>
      </c>
      <c r="R14" s="6">
        <v>0.7</v>
      </c>
      <c r="S14" s="6">
        <v>0.71</v>
      </c>
      <c r="T14" s="6">
        <v>0.72</v>
      </c>
      <c r="U14" s="6">
        <v>0.46</v>
      </c>
      <c r="V14" s="6">
        <v>0.8</v>
      </c>
      <c r="W14" s="6">
        <v>0.79</v>
      </c>
      <c r="X14" s="6">
        <v>0.25</v>
      </c>
      <c r="Y14" s="6">
        <v>7.0000000000000007E-2</v>
      </c>
      <c r="Z14" s="6">
        <v>60</v>
      </c>
      <c r="AA14" s="6">
        <v>55.5</v>
      </c>
      <c r="AB14" s="6">
        <v>54</v>
      </c>
      <c r="AC14" s="6">
        <v>127</v>
      </c>
      <c r="AD14" s="6">
        <v>200</v>
      </c>
      <c r="AE14" s="6">
        <v>83</v>
      </c>
      <c r="AF14" s="6">
        <v>30</v>
      </c>
      <c r="AG14" s="6">
        <v>15</v>
      </c>
      <c r="AH14" s="7">
        <v>319</v>
      </c>
      <c r="AI14" s="7">
        <v>99</v>
      </c>
    </row>
    <row r="15" spans="1:35" x14ac:dyDescent="0.25">
      <c r="AH15" s="8"/>
      <c r="AI15" s="8"/>
    </row>
    <row r="16" spans="1:35" x14ac:dyDescent="0.25">
      <c r="A16" s="2" t="s">
        <v>2</v>
      </c>
      <c r="B16" s="42" t="s">
        <v>3</v>
      </c>
      <c r="C16" s="42"/>
      <c r="D16" s="42"/>
      <c r="E16" s="42"/>
      <c r="F16" s="42"/>
      <c r="G16" s="42"/>
      <c r="H16" s="42"/>
      <c r="I16" s="42"/>
      <c r="J16" s="42" t="s">
        <v>4</v>
      </c>
      <c r="K16" s="42"/>
      <c r="L16" s="42"/>
      <c r="M16" s="42"/>
      <c r="N16" s="42"/>
      <c r="O16" s="42"/>
      <c r="P16" s="42"/>
      <c r="Q16" s="42"/>
      <c r="R16" s="42" t="s">
        <v>5</v>
      </c>
      <c r="S16" s="42"/>
      <c r="T16" s="42"/>
      <c r="U16" s="42"/>
      <c r="V16" s="42"/>
      <c r="W16" s="42"/>
      <c r="X16" s="42"/>
      <c r="Y16" s="42"/>
      <c r="Z16" s="42" t="s">
        <v>6</v>
      </c>
      <c r="AA16" s="42"/>
      <c r="AB16" s="42"/>
      <c r="AC16" s="42"/>
      <c r="AD16" s="42"/>
      <c r="AE16" s="42"/>
      <c r="AF16" s="42"/>
      <c r="AG16" s="42"/>
      <c r="AH16" s="8"/>
      <c r="AI16" s="8"/>
    </row>
    <row r="17" spans="1:35" x14ac:dyDescent="0.25">
      <c r="A17" s="2" t="s">
        <v>7</v>
      </c>
      <c r="B17" s="2">
        <v>0</v>
      </c>
      <c r="C17" s="2">
        <v>45</v>
      </c>
      <c r="D17" s="2">
        <v>90</v>
      </c>
      <c r="E17" s="2">
        <v>120</v>
      </c>
      <c r="F17" s="2">
        <v>150</v>
      </c>
      <c r="G17" s="2">
        <v>210</v>
      </c>
      <c r="H17" s="2">
        <v>270</v>
      </c>
      <c r="I17" s="2">
        <v>330</v>
      </c>
      <c r="J17" s="2">
        <v>0</v>
      </c>
      <c r="K17" s="2">
        <v>45</v>
      </c>
      <c r="L17" s="2">
        <v>90</v>
      </c>
      <c r="M17" s="2">
        <v>120</v>
      </c>
      <c r="N17" s="2">
        <v>150</v>
      </c>
      <c r="O17" s="2">
        <v>210</v>
      </c>
      <c r="P17" s="2">
        <v>270</v>
      </c>
      <c r="Q17" s="2">
        <v>330</v>
      </c>
      <c r="R17" s="2">
        <v>0</v>
      </c>
      <c r="S17" s="2">
        <v>45</v>
      </c>
      <c r="T17" s="2">
        <v>90</v>
      </c>
      <c r="U17" s="2">
        <v>120</v>
      </c>
      <c r="V17" s="2">
        <v>150</v>
      </c>
      <c r="W17" s="2">
        <v>210</v>
      </c>
      <c r="X17" s="2">
        <v>270</v>
      </c>
      <c r="Y17" s="2">
        <v>330</v>
      </c>
      <c r="Z17" s="2">
        <v>0</v>
      </c>
      <c r="AA17" s="2">
        <v>45</v>
      </c>
      <c r="AB17" s="2">
        <v>90</v>
      </c>
      <c r="AC17" s="2">
        <v>120</v>
      </c>
      <c r="AD17" s="2">
        <v>150</v>
      </c>
      <c r="AE17" s="2">
        <v>210</v>
      </c>
      <c r="AF17" s="2">
        <v>270</v>
      </c>
      <c r="AG17" s="2">
        <v>330</v>
      </c>
      <c r="AH17" s="8"/>
      <c r="AI17" s="8"/>
    </row>
    <row r="18" spans="1:35" x14ac:dyDescent="0.25">
      <c r="A18" s="2">
        <v>1</v>
      </c>
      <c r="B18" s="6">
        <v>6.67</v>
      </c>
      <c r="C18" s="6">
        <v>14.05</v>
      </c>
      <c r="D18" s="6">
        <v>10.92</v>
      </c>
      <c r="E18" s="6">
        <v>9.0500000000000007</v>
      </c>
      <c r="F18" s="6">
        <v>6.54</v>
      </c>
      <c r="G18" s="6">
        <v>6.96</v>
      </c>
      <c r="H18" s="6">
        <v>6.27</v>
      </c>
      <c r="I18" s="6">
        <v>6.52</v>
      </c>
      <c r="J18" s="6">
        <v>38.67</v>
      </c>
      <c r="K18" s="6">
        <v>462.31</v>
      </c>
      <c r="L18" s="6">
        <v>255.2</v>
      </c>
      <c r="M18" s="6">
        <v>404.99</v>
      </c>
      <c r="N18" s="6">
        <v>124.91</v>
      </c>
      <c r="O18" s="6">
        <v>59.72</v>
      </c>
      <c r="P18" s="6">
        <v>36.479999999999997</v>
      </c>
      <c r="Q18" s="6">
        <v>33.119999999999997</v>
      </c>
      <c r="R18" s="6">
        <v>0.54</v>
      </c>
      <c r="S18" s="6">
        <v>0.3</v>
      </c>
      <c r="T18" s="6">
        <v>0.06</v>
      </c>
      <c r="U18" s="6">
        <v>0.08</v>
      </c>
      <c r="V18" s="6">
        <v>0.11</v>
      </c>
      <c r="W18" s="6">
        <v>0.31</v>
      </c>
      <c r="X18" s="6">
        <v>0.47</v>
      </c>
      <c r="Y18" s="6">
        <v>0.84</v>
      </c>
      <c r="Z18" s="6">
        <v>44.5</v>
      </c>
      <c r="AA18" s="6">
        <v>31</v>
      </c>
      <c r="AB18" s="6">
        <v>21</v>
      </c>
      <c r="AC18" s="6">
        <v>36</v>
      </c>
      <c r="AD18" s="6">
        <v>58</v>
      </c>
      <c r="AE18" s="6">
        <v>41.5</v>
      </c>
      <c r="AF18" s="6">
        <v>65</v>
      </c>
      <c r="AG18" s="6">
        <v>76</v>
      </c>
      <c r="AH18" s="7">
        <v>509</v>
      </c>
      <c r="AI18" s="7">
        <v>93</v>
      </c>
    </row>
    <row r="19" spans="1:35" x14ac:dyDescent="0.25">
      <c r="A19" s="2">
        <v>2</v>
      </c>
      <c r="B19" s="6">
        <v>6.34</v>
      </c>
      <c r="C19" s="6">
        <v>7.83</v>
      </c>
      <c r="D19" s="6">
        <v>5.0999999999999996</v>
      </c>
      <c r="E19" s="6">
        <v>6.91</v>
      </c>
      <c r="F19" s="6">
        <v>5.75</v>
      </c>
      <c r="G19" s="6">
        <v>5.25</v>
      </c>
      <c r="H19" s="6">
        <v>2.75</v>
      </c>
      <c r="I19" s="6">
        <v>5.93</v>
      </c>
      <c r="J19" s="6">
        <v>20.11</v>
      </c>
      <c r="K19" s="6">
        <v>35.700000000000003</v>
      </c>
      <c r="L19" s="6">
        <v>63.2</v>
      </c>
      <c r="M19" s="6">
        <v>39.299999999999997</v>
      </c>
      <c r="N19" s="6">
        <v>31.59</v>
      </c>
      <c r="O19" s="6">
        <v>19.36</v>
      </c>
      <c r="P19" s="6">
        <v>24.2</v>
      </c>
      <c r="Q19" s="6">
        <v>37.81</v>
      </c>
      <c r="R19" s="6">
        <v>0.41</v>
      </c>
      <c r="S19" s="6">
        <v>0.36</v>
      </c>
      <c r="T19" s="6">
        <v>0.14000000000000001</v>
      </c>
      <c r="U19" s="6">
        <v>0.2</v>
      </c>
      <c r="V19" s="6">
        <v>0.08</v>
      </c>
      <c r="W19" s="6">
        <v>0.17</v>
      </c>
      <c r="X19" s="6">
        <v>7.0000000000000007E-2</v>
      </c>
      <c r="Y19" s="6">
        <v>0.23</v>
      </c>
      <c r="Z19" s="6">
        <v>10.5</v>
      </c>
      <c r="AA19" s="6">
        <v>9</v>
      </c>
      <c r="AB19" s="6">
        <v>14</v>
      </c>
      <c r="AC19" s="6">
        <v>16</v>
      </c>
      <c r="AD19" s="6">
        <v>27</v>
      </c>
      <c r="AE19" s="6">
        <v>15.5</v>
      </c>
      <c r="AF19" s="6">
        <v>15.5</v>
      </c>
      <c r="AG19" s="6">
        <v>14.5</v>
      </c>
      <c r="AH19" s="7">
        <v>523</v>
      </c>
      <c r="AI19" s="7">
        <v>106</v>
      </c>
    </row>
    <row r="20" spans="1:35" x14ac:dyDescent="0.25">
      <c r="A20" s="2">
        <v>3</v>
      </c>
      <c r="B20" s="6">
        <v>5.96</v>
      </c>
      <c r="C20" s="6">
        <v>5.95</v>
      </c>
      <c r="D20" s="6">
        <v>6.23</v>
      </c>
      <c r="E20" s="6">
        <v>6.2</v>
      </c>
      <c r="F20" s="6">
        <v>6.18</v>
      </c>
      <c r="G20" s="6">
        <v>7.01</v>
      </c>
      <c r="H20" s="6">
        <v>7.15</v>
      </c>
      <c r="I20" s="6">
        <v>6.88</v>
      </c>
      <c r="J20" s="6">
        <v>60.48</v>
      </c>
      <c r="K20" s="6">
        <v>89.15</v>
      </c>
      <c r="L20" s="6">
        <v>43.77</v>
      </c>
      <c r="M20" s="6">
        <v>21.22</v>
      </c>
      <c r="N20" s="6">
        <v>56.42</v>
      </c>
      <c r="O20" s="6">
        <v>36.97</v>
      </c>
      <c r="P20" s="6">
        <v>37.869999999999997</v>
      </c>
      <c r="Q20" s="6">
        <v>36.81</v>
      </c>
      <c r="R20" s="6">
        <v>0.25</v>
      </c>
      <c r="S20" s="6">
        <v>0.24</v>
      </c>
      <c r="T20" s="6">
        <v>0.24</v>
      </c>
      <c r="U20" s="6">
        <v>0.15</v>
      </c>
      <c r="V20" s="6">
        <v>0.25</v>
      </c>
      <c r="W20" s="6">
        <v>0.35</v>
      </c>
      <c r="X20" s="6">
        <v>0.16</v>
      </c>
      <c r="Y20" s="6">
        <v>0.19</v>
      </c>
      <c r="Z20" s="6">
        <v>48</v>
      </c>
      <c r="AA20" s="6">
        <v>20</v>
      </c>
      <c r="AB20" s="6">
        <v>17</v>
      </c>
      <c r="AC20" s="6">
        <v>37.5</v>
      </c>
      <c r="AD20" s="6">
        <v>77</v>
      </c>
      <c r="AE20" s="6">
        <v>44.5</v>
      </c>
      <c r="AF20" s="6">
        <v>57</v>
      </c>
      <c r="AG20" s="6">
        <v>49</v>
      </c>
      <c r="AH20" s="7">
        <v>413</v>
      </c>
      <c r="AI20" s="7">
        <v>147</v>
      </c>
    </row>
    <row r="21" spans="1:35" x14ac:dyDescent="0.25">
      <c r="A21" s="2">
        <v>4</v>
      </c>
      <c r="B21" s="6">
        <v>6.91</v>
      </c>
      <c r="C21" s="6">
        <v>9.25</v>
      </c>
      <c r="D21" s="6">
        <v>7.02</v>
      </c>
      <c r="E21" s="6">
        <v>6.07</v>
      </c>
      <c r="F21" s="6">
        <v>6.57</v>
      </c>
      <c r="G21" s="6">
        <v>6.37</v>
      </c>
      <c r="H21" s="6">
        <v>6.43</v>
      </c>
      <c r="I21" s="6">
        <v>6.15</v>
      </c>
      <c r="J21" s="6">
        <v>14.42</v>
      </c>
      <c r="K21" s="6">
        <v>91.9</v>
      </c>
      <c r="L21" s="6">
        <v>55.1</v>
      </c>
      <c r="M21" s="6">
        <v>24.3</v>
      </c>
      <c r="N21" s="6">
        <v>40.72</v>
      </c>
      <c r="O21" s="6">
        <v>25.42</v>
      </c>
      <c r="P21" s="6">
        <v>23.66</v>
      </c>
      <c r="Q21" s="6">
        <v>18.670000000000002</v>
      </c>
      <c r="R21" s="6">
        <v>0.39</v>
      </c>
      <c r="S21" s="6">
        <v>0.22</v>
      </c>
      <c r="T21" s="6">
        <v>0.06</v>
      </c>
      <c r="U21" s="6">
        <v>0.05</v>
      </c>
      <c r="V21" s="6">
        <v>0.13</v>
      </c>
      <c r="W21" s="6">
        <v>0.48</v>
      </c>
      <c r="X21" s="6">
        <v>0.75</v>
      </c>
      <c r="Y21" s="6">
        <v>0.88</v>
      </c>
      <c r="Z21" s="6">
        <v>30</v>
      </c>
      <c r="AA21" s="6">
        <v>18</v>
      </c>
      <c r="AB21" s="6">
        <v>20</v>
      </c>
      <c r="AC21" s="6">
        <v>31.5</v>
      </c>
      <c r="AD21" s="6">
        <v>47</v>
      </c>
      <c r="AE21" s="6">
        <v>46</v>
      </c>
      <c r="AF21" s="6">
        <v>57</v>
      </c>
      <c r="AG21" s="6">
        <v>53</v>
      </c>
      <c r="AH21" s="7">
        <v>619</v>
      </c>
      <c r="AI21" s="7">
        <v>90</v>
      </c>
    </row>
    <row r="22" spans="1:35" x14ac:dyDescent="0.25">
      <c r="A22" s="2">
        <v>5</v>
      </c>
      <c r="B22" s="6">
        <v>5.31</v>
      </c>
      <c r="C22" s="6">
        <v>4.82</v>
      </c>
      <c r="D22" s="6">
        <v>4.08</v>
      </c>
      <c r="E22" s="6">
        <v>5.36</v>
      </c>
      <c r="F22" s="6">
        <v>5.42</v>
      </c>
      <c r="G22" s="6">
        <v>3.88</v>
      </c>
      <c r="H22" s="6">
        <v>5.19</v>
      </c>
      <c r="I22" s="6">
        <v>5.3</v>
      </c>
      <c r="J22" s="6">
        <v>13.55</v>
      </c>
      <c r="K22" s="6">
        <v>78.3</v>
      </c>
      <c r="L22" s="6">
        <v>17.899999999999999</v>
      </c>
      <c r="M22" s="6">
        <v>22.1</v>
      </c>
      <c r="N22" s="6">
        <v>31.51</v>
      </c>
      <c r="O22" s="6">
        <v>14.7</v>
      </c>
      <c r="P22" s="6">
        <v>32.18</v>
      </c>
      <c r="Q22" s="6">
        <v>29.08</v>
      </c>
      <c r="R22" s="6">
        <v>1</v>
      </c>
      <c r="S22" s="6">
        <v>0.19</v>
      </c>
      <c r="T22" s="6">
        <v>0.09</v>
      </c>
      <c r="U22" s="6">
        <v>0.2</v>
      </c>
      <c r="V22" s="6">
        <v>0.31</v>
      </c>
      <c r="W22" s="6">
        <v>0.32</v>
      </c>
      <c r="X22" s="6">
        <v>0.87</v>
      </c>
      <c r="Y22" s="6">
        <v>1.91</v>
      </c>
      <c r="Z22" s="6">
        <v>41</v>
      </c>
      <c r="AA22" s="6">
        <v>12.5</v>
      </c>
      <c r="AB22" s="6">
        <v>16.5</v>
      </c>
      <c r="AC22" s="6">
        <v>19.5</v>
      </c>
      <c r="AD22" s="6">
        <v>27</v>
      </c>
      <c r="AE22" s="6">
        <v>24.5</v>
      </c>
      <c r="AF22" s="6">
        <v>23</v>
      </c>
      <c r="AG22" s="6">
        <v>91</v>
      </c>
      <c r="AH22" s="7">
        <v>480</v>
      </c>
      <c r="AI22" s="7">
        <v>142</v>
      </c>
    </row>
    <row r="23" spans="1:35" x14ac:dyDescent="0.25">
      <c r="A23" s="2">
        <v>6</v>
      </c>
      <c r="B23" s="6">
        <v>5.58</v>
      </c>
      <c r="C23" s="6">
        <v>7.8</v>
      </c>
      <c r="D23" s="6">
        <v>5.86</v>
      </c>
      <c r="E23" s="6">
        <v>4.8899999999999997</v>
      </c>
      <c r="F23" s="6">
        <v>4.82</v>
      </c>
      <c r="G23" s="6">
        <v>4.72</v>
      </c>
      <c r="H23" s="6">
        <v>5.18</v>
      </c>
      <c r="I23" s="6">
        <v>5.13</v>
      </c>
      <c r="J23" s="6">
        <v>15.33</v>
      </c>
      <c r="K23" s="6">
        <v>149.07</v>
      </c>
      <c r="L23" s="6">
        <v>88.67</v>
      </c>
      <c r="M23" s="6">
        <v>41.85</v>
      </c>
      <c r="N23" s="6">
        <v>32.36</v>
      </c>
      <c r="O23" s="6">
        <v>21.93</v>
      </c>
      <c r="P23" s="6">
        <v>16.89</v>
      </c>
      <c r="Q23" s="6">
        <v>14.34</v>
      </c>
      <c r="R23" s="6">
        <v>0.27</v>
      </c>
      <c r="S23" s="6">
        <v>0.06</v>
      </c>
      <c r="T23" s="6">
        <v>0.02</v>
      </c>
      <c r="U23" s="6">
        <v>0.03</v>
      </c>
      <c r="V23" s="6">
        <v>0.04</v>
      </c>
      <c r="W23" s="6">
        <v>0.16</v>
      </c>
      <c r="X23" s="6">
        <v>0.36</v>
      </c>
      <c r="Y23" s="6">
        <v>0.59</v>
      </c>
      <c r="Z23" s="6">
        <v>30.5</v>
      </c>
      <c r="AA23" s="6">
        <v>24.5</v>
      </c>
      <c r="AB23" s="6">
        <v>15.5</v>
      </c>
      <c r="AC23" s="6">
        <v>26</v>
      </c>
      <c r="AD23" s="6">
        <v>36.5</v>
      </c>
      <c r="AE23" s="6">
        <v>34</v>
      </c>
      <c r="AF23" s="6">
        <v>43</v>
      </c>
      <c r="AG23" s="6">
        <v>74.5</v>
      </c>
      <c r="AH23" s="7">
        <v>427</v>
      </c>
      <c r="AI23" s="7">
        <v>92</v>
      </c>
    </row>
    <row r="24" spans="1:35" x14ac:dyDescent="0.25">
      <c r="A24" s="2">
        <v>7</v>
      </c>
      <c r="B24" s="6">
        <v>5.4</v>
      </c>
      <c r="C24" s="6">
        <v>7.93</v>
      </c>
      <c r="D24" s="6">
        <v>6.86</v>
      </c>
      <c r="E24" s="6">
        <v>6.29</v>
      </c>
      <c r="F24" s="6">
        <v>5.46</v>
      </c>
      <c r="G24" s="6">
        <v>5.42</v>
      </c>
      <c r="H24" s="6">
        <v>4.96</v>
      </c>
      <c r="I24" s="6">
        <v>4.99</v>
      </c>
      <c r="J24" s="6">
        <v>10.78</v>
      </c>
      <c r="K24" s="6">
        <v>98.14</v>
      </c>
      <c r="L24" s="6">
        <v>75.47</v>
      </c>
      <c r="M24" s="6">
        <v>81.650000000000006</v>
      </c>
      <c r="N24" s="6">
        <v>28.4</v>
      </c>
      <c r="O24" s="6">
        <v>17.559999999999999</v>
      </c>
      <c r="P24" s="6">
        <v>4.4400000000000004</v>
      </c>
      <c r="Q24" s="6">
        <v>8.49</v>
      </c>
      <c r="R24" s="6">
        <v>0.69</v>
      </c>
      <c r="S24" s="6">
        <v>0.27</v>
      </c>
      <c r="T24" s="6">
        <v>0.25</v>
      </c>
      <c r="U24" s="6">
        <v>0.3</v>
      </c>
      <c r="V24" s="6">
        <v>0.4</v>
      </c>
      <c r="W24" s="6">
        <v>0.55000000000000004</v>
      </c>
      <c r="X24" s="6">
        <v>0.75</v>
      </c>
      <c r="Y24" s="6">
        <v>1.05</v>
      </c>
      <c r="Z24" s="6">
        <v>63</v>
      </c>
      <c r="AA24" s="6">
        <v>16.5</v>
      </c>
      <c r="AB24" s="6">
        <v>19.5</v>
      </c>
      <c r="AC24" s="6">
        <v>47</v>
      </c>
      <c r="AD24" s="6">
        <v>62.5</v>
      </c>
      <c r="AE24" s="6">
        <v>41</v>
      </c>
      <c r="AF24" s="6">
        <v>76</v>
      </c>
      <c r="AG24" s="6">
        <v>74.5</v>
      </c>
      <c r="AH24" s="7">
        <v>318</v>
      </c>
      <c r="AI24" s="7">
        <v>155</v>
      </c>
    </row>
    <row r="25" spans="1:35" x14ac:dyDescent="0.25">
      <c r="A25" s="2">
        <v>8</v>
      </c>
      <c r="B25" s="6">
        <v>5.19</v>
      </c>
      <c r="C25" s="6">
        <v>7.09</v>
      </c>
      <c r="D25" s="6">
        <v>5.84</v>
      </c>
      <c r="E25" s="6">
        <v>6.14</v>
      </c>
      <c r="F25" s="6">
        <v>5.33</v>
      </c>
      <c r="G25" s="6">
        <v>4.9000000000000004</v>
      </c>
      <c r="H25" s="6">
        <v>4.95</v>
      </c>
      <c r="I25" s="6">
        <v>5.17</v>
      </c>
      <c r="J25" s="6">
        <v>28.07</v>
      </c>
      <c r="K25" s="6">
        <v>153.97</v>
      </c>
      <c r="L25" s="6">
        <v>95.23</v>
      </c>
      <c r="M25" s="6">
        <v>79.930000000000007</v>
      </c>
      <c r="N25" s="6">
        <v>12.58</v>
      </c>
      <c r="O25" s="6">
        <v>11.76</v>
      </c>
      <c r="P25" s="6">
        <v>18.27</v>
      </c>
      <c r="Q25" s="6">
        <v>11.76</v>
      </c>
      <c r="R25" s="6">
        <v>0.9</v>
      </c>
      <c r="S25" s="6">
        <v>0.12</v>
      </c>
      <c r="T25" s="6">
        <v>0.08</v>
      </c>
      <c r="U25" s="6">
        <v>0.11</v>
      </c>
      <c r="V25" s="6">
        <v>0.3</v>
      </c>
      <c r="W25" s="6">
        <v>0.91</v>
      </c>
      <c r="X25" s="6">
        <v>1.26</v>
      </c>
      <c r="Y25" s="6">
        <v>1.6</v>
      </c>
      <c r="Z25" s="6">
        <v>86</v>
      </c>
      <c r="AA25" s="6">
        <v>18</v>
      </c>
      <c r="AB25" s="6">
        <v>20</v>
      </c>
      <c r="AC25" s="6">
        <v>86.5</v>
      </c>
      <c r="AD25" s="6">
        <v>107</v>
      </c>
      <c r="AE25" s="6">
        <v>92</v>
      </c>
      <c r="AF25" s="6">
        <v>99</v>
      </c>
      <c r="AG25" s="6">
        <v>91</v>
      </c>
      <c r="AH25" s="7">
        <v>632</v>
      </c>
      <c r="AI25" s="7">
        <v>205</v>
      </c>
    </row>
    <row r="26" spans="1:35" x14ac:dyDescent="0.25">
      <c r="A26" s="2">
        <v>9</v>
      </c>
      <c r="B26" s="6">
        <v>5.19</v>
      </c>
      <c r="C26" s="6">
        <v>6.71</v>
      </c>
      <c r="D26" s="6">
        <v>5.62</v>
      </c>
      <c r="E26" s="6">
        <v>5.66</v>
      </c>
      <c r="F26" s="6">
        <v>5.22</v>
      </c>
      <c r="G26" s="6">
        <v>5.19</v>
      </c>
      <c r="H26" s="6">
        <v>5.17</v>
      </c>
      <c r="I26" s="6">
        <v>5.29</v>
      </c>
      <c r="J26" s="6">
        <v>44.55</v>
      </c>
      <c r="K26" s="6">
        <v>206.51</v>
      </c>
      <c r="L26" s="6">
        <v>138.78</v>
      </c>
      <c r="M26" s="6">
        <v>79.81</v>
      </c>
      <c r="N26" s="6">
        <v>21.64</v>
      </c>
      <c r="O26" s="6">
        <v>32.57</v>
      </c>
      <c r="P26" s="6">
        <v>22.56</v>
      </c>
      <c r="Q26" s="6">
        <v>23.87</v>
      </c>
      <c r="R26" s="6">
        <v>0.59</v>
      </c>
      <c r="S26" s="6">
        <v>0.12</v>
      </c>
      <c r="T26" s="6">
        <v>7.0000000000000007E-2</v>
      </c>
      <c r="U26" s="6">
        <v>0.13</v>
      </c>
      <c r="V26" s="6">
        <v>0.25</v>
      </c>
      <c r="W26" s="6">
        <v>0.74</v>
      </c>
      <c r="X26" s="6">
        <v>0.91</v>
      </c>
      <c r="Y26" s="6">
        <v>1.03</v>
      </c>
      <c r="Z26" s="6">
        <v>61.5</v>
      </c>
      <c r="AA26" s="6">
        <v>21.5</v>
      </c>
      <c r="AB26" s="6">
        <v>18</v>
      </c>
      <c r="AC26" s="6">
        <v>32.5</v>
      </c>
      <c r="AD26" s="6">
        <v>83</v>
      </c>
      <c r="AE26" s="6">
        <v>65</v>
      </c>
      <c r="AF26" s="6">
        <v>86.5</v>
      </c>
      <c r="AG26" s="6">
        <v>97.5</v>
      </c>
      <c r="AH26" s="7">
        <v>442</v>
      </c>
      <c r="AI26" s="7">
        <v>106</v>
      </c>
    </row>
    <row r="27" spans="1:35" x14ac:dyDescent="0.25">
      <c r="A27" s="2">
        <v>10</v>
      </c>
      <c r="B27" s="6">
        <v>5.47</v>
      </c>
      <c r="C27" s="6">
        <v>6.95</v>
      </c>
      <c r="D27" s="6">
        <v>5.38</v>
      </c>
      <c r="E27" s="6">
        <v>5.21</v>
      </c>
      <c r="F27" s="6">
        <v>5.09</v>
      </c>
      <c r="G27" s="6">
        <v>5.0599999999999996</v>
      </c>
      <c r="H27" s="6">
        <v>4.8899999999999997</v>
      </c>
      <c r="I27" s="6">
        <v>5.35</v>
      </c>
      <c r="J27" s="6">
        <v>21.65</v>
      </c>
      <c r="K27" s="6">
        <v>117.75</v>
      </c>
      <c r="L27" s="6">
        <v>69.209999999999994</v>
      </c>
      <c r="M27" s="6">
        <v>56.39</v>
      </c>
      <c r="N27" s="6">
        <v>16.98</v>
      </c>
      <c r="O27" s="6">
        <v>15.3</v>
      </c>
      <c r="P27" s="6">
        <v>16.149999999999999</v>
      </c>
      <c r="Q27" s="6">
        <v>19.670000000000002</v>
      </c>
      <c r="R27" s="6">
        <v>0.53</v>
      </c>
      <c r="S27" s="6">
        <v>0.17</v>
      </c>
      <c r="T27" s="6">
        <v>7.0000000000000007E-2</v>
      </c>
      <c r="U27" s="6">
        <v>0.14000000000000001</v>
      </c>
      <c r="V27" s="6">
        <v>0.42</v>
      </c>
      <c r="W27" s="6">
        <v>1.07</v>
      </c>
      <c r="X27" s="6">
        <v>1.4</v>
      </c>
      <c r="Y27" s="6">
        <v>1.66</v>
      </c>
      <c r="Z27" s="6">
        <v>41</v>
      </c>
      <c r="AA27" s="6">
        <v>37.5</v>
      </c>
      <c r="AB27" s="6">
        <v>43</v>
      </c>
      <c r="AC27" s="6">
        <v>62.5</v>
      </c>
      <c r="AD27" s="6">
        <v>93.5</v>
      </c>
      <c r="AE27" s="6">
        <v>86.5</v>
      </c>
      <c r="AF27" s="6">
        <v>78</v>
      </c>
      <c r="AG27" s="6">
        <v>79</v>
      </c>
      <c r="AH27" s="7">
        <v>277</v>
      </c>
      <c r="AI27" s="7">
        <v>74</v>
      </c>
    </row>
    <row r="28" spans="1:35" x14ac:dyDescent="0.25">
      <c r="A28" s="2">
        <v>11</v>
      </c>
      <c r="B28" s="6">
        <v>5.17</v>
      </c>
      <c r="C28" s="6">
        <v>7.94</v>
      </c>
      <c r="D28" s="6">
        <v>6.22</v>
      </c>
      <c r="E28" s="6">
        <v>6.06</v>
      </c>
      <c r="F28" s="6">
        <v>5.0199999999999996</v>
      </c>
      <c r="G28" s="6">
        <v>4.7699999999999996</v>
      </c>
      <c r="H28" s="6">
        <v>4.74</v>
      </c>
      <c r="I28" s="6">
        <v>4.78</v>
      </c>
      <c r="J28" s="6">
        <v>23.88</v>
      </c>
      <c r="K28" s="6">
        <v>188.87</v>
      </c>
      <c r="L28" s="6">
        <v>130.56</v>
      </c>
      <c r="M28" s="6">
        <v>100.12</v>
      </c>
      <c r="N28" s="6">
        <v>31.74</v>
      </c>
      <c r="O28" s="6">
        <v>20.37</v>
      </c>
      <c r="P28" s="6">
        <v>20.54</v>
      </c>
      <c r="Q28" s="6">
        <v>22.73</v>
      </c>
      <c r="R28" s="6">
        <v>0.53</v>
      </c>
      <c r="S28" s="6">
        <v>0.26</v>
      </c>
      <c r="T28" s="6">
        <v>0.06</v>
      </c>
      <c r="U28" s="6">
        <v>0.18</v>
      </c>
      <c r="V28" s="6">
        <v>0.28000000000000003</v>
      </c>
      <c r="W28" s="6">
        <v>0.47</v>
      </c>
      <c r="X28" s="6">
        <v>0.87</v>
      </c>
      <c r="Y28" s="6">
        <v>0.97</v>
      </c>
      <c r="Z28" s="6">
        <v>48</v>
      </c>
      <c r="AA28" s="6">
        <v>25</v>
      </c>
      <c r="AB28" s="6">
        <v>18</v>
      </c>
      <c r="AC28" s="6">
        <v>29.5</v>
      </c>
      <c r="AD28" s="6">
        <v>32</v>
      </c>
      <c r="AE28" s="6">
        <v>41</v>
      </c>
      <c r="AF28" s="6">
        <v>46</v>
      </c>
      <c r="AG28" s="6">
        <v>75.5</v>
      </c>
      <c r="AH28" s="7">
        <v>289</v>
      </c>
      <c r="AI28" s="7">
        <v>121</v>
      </c>
    </row>
    <row r="29" spans="1:35" x14ac:dyDescent="0.25">
      <c r="A29" s="2">
        <v>12</v>
      </c>
      <c r="B29" s="6">
        <v>4.7300000000000004</v>
      </c>
      <c r="C29" s="6">
        <v>7.34</v>
      </c>
      <c r="D29" s="6">
        <v>6.77</v>
      </c>
      <c r="E29" s="6">
        <v>5.79</v>
      </c>
      <c r="F29" s="6">
        <v>5.32</v>
      </c>
      <c r="G29" s="6">
        <v>5.0599999999999996</v>
      </c>
      <c r="H29" s="6">
        <v>4.92</v>
      </c>
      <c r="I29" s="6">
        <v>4.78</v>
      </c>
      <c r="J29" s="6">
        <v>18.600000000000001</v>
      </c>
      <c r="K29" s="6">
        <v>73.33</v>
      </c>
      <c r="L29" s="6">
        <v>89.02</v>
      </c>
      <c r="M29" s="6">
        <v>59.09</v>
      </c>
      <c r="N29" s="6">
        <v>17.63</v>
      </c>
      <c r="O29" s="6">
        <v>11.45</v>
      </c>
      <c r="P29" s="6">
        <v>9.2200000000000006</v>
      </c>
      <c r="Q29" s="6">
        <v>7.14</v>
      </c>
      <c r="R29" s="6">
        <v>0.69</v>
      </c>
      <c r="S29" s="6">
        <v>0.14000000000000001</v>
      </c>
      <c r="T29" s="6">
        <v>0.04</v>
      </c>
      <c r="U29" s="6">
        <v>0.06</v>
      </c>
      <c r="V29" s="6">
        <v>0.14000000000000001</v>
      </c>
      <c r="W29" s="6">
        <v>0.33</v>
      </c>
      <c r="X29" s="6">
        <v>0.77</v>
      </c>
      <c r="Y29" s="6">
        <v>1.21</v>
      </c>
      <c r="Z29" s="6">
        <v>61.5</v>
      </c>
      <c r="AA29" s="6">
        <v>15.5</v>
      </c>
      <c r="AB29" s="6">
        <v>10</v>
      </c>
      <c r="AC29" s="6">
        <v>29.5</v>
      </c>
      <c r="AD29" s="6">
        <v>52</v>
      </c>
      <c r="AE29" s="6">
        <v>34</v>
      </c>
      <c r="AF29" s="6">
        <v>49</v>
      </c>
      <c r="AG29" s="6">
        <v>69.5</v>
      </c>
      <c r="AH29" s="7">
        <v>301</v>
      </c>
      <c r="AI29" s="7">
        <v>115</v>
      </c>
    </row>
    <row r="31" spans="1:35" x14ac:dyDescent="0.25">
      <c r="A31" s="43" t="s">
        <v>10</v>
      </c>
      <c r="B31" s="41"/>
      <c r="C31" s="41"/>
      <c r="D31" s="41"/>
      <c r="E31" s="41"/>
      <c r="F31" s="41"/>
      <c r="G31" s="41"/>
    </row>
    <row r="32" spans="1:35" x14ac:dyDescent="0.25">
      <c r="A32" s="2" t="s">
        <v>1</v>
      </c>
      <c r="B32" s="9"/>
      <c r="C32" s="9"/>
      <c r="D32" s="9"/>
      <c r="E32" s="9"/>
    </row>
    <row r="33" spans="1:35" x14ac:dyDescent="0.25">
      <c r="A33" s="2" t="s">
        <v>0</v>
      </c>
      <c r="B33" s="2" t="s">
        <v>12</v>
      </c>
      <c r="C33" s="2" t="s">
        <v>11</v>
      </c>
    </row>
    <row r="34" spans="1:35" x14ac:dyDescent="0.25">
      <c r="A34" s="2">
        <v>1</v>
      </c>
      <c r="B34" s="4">
        <v>-7.46</v>
      </c>
      <c r="C34" s="4">
        <v>-1.82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2">
        <v>2</v>
      </c>
      <c r="B35" s="4">
        <v>-2.71</v>
      </c>
      <c r="C35" s="4">
        <v>-0.13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2">
        <v>3</v>
      </c>
      <c r="B36" s="4">
        <v>1.4</v>
      </c>
      <c r="C36" s="4">
        <v>0.15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2">
        <v>4</v>
      </c>
      <c r="B37" s="4">
        <v>-2.04</v>
      </c>
      <c r="C37" s="4">
        <v>-1.02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2">
        <v>5</v>
      </c>
      <c r="B38" s="4">
        <v>-4.9000000000000004</v>
      </c>
      <c r="C38" s="4">
        <v>-6.82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2">
        <v>6</v>
      </c>
      <c r="B39" s="4">
        <v>-5.48</v>
      </c>
      <c r="C39" s="4">
        <v>-4.3600000000000003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2">
        <v>7</v>
      </c>
      <c r="B40" s="4">
        <v>-3.04</v>
      </c>
      <c r="C40" s="4">
        <v>-1.28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2">
        <v>8</v>
      </c>
      <c r="B41" s="4">
        <v>-3.27</v>
      </c>
      <c r="C41" s="4">
        <v>0.2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2" t="s">
        <v>2</v>
      </c>
      <c r="B42" s="4"/>
      <c r="C42" s="4"/>
    </row>
    <row r="43" spans="1:35" x14ac:dyDescent="0.25">
      <c r="A43" s="2" t="s">
        <v>0</v>
      </c>
      <c r="B43" s="4"/>
      <c r="C43" s="4"/>
    </row>
    <row r="44" spans="1:35" x14ac:dyDescent="0.25">
      <c r="A44" s="2">
        <v>1</v>
      </c>
      <c r="B44" s="4">
        <v>2.13</v>
      </c>
      <c r="C44" s="4">
        <v>0.48</v>
      </c>
    </row>
    <row r="45" spans="1:35" x14ac:dyDescent="0.25">
      <c r="A45" s="2">
        <v>2</v>
      </c>
      <c r="B45" s="4">
        <v>-4.79</v>
      </c>
      <c r="C45" s="4">
        <v>-0.72</v>
      </c>
    </row>
    <row r="46" spans="1:35" x14ac:dyDescent="0.25">
      <c r="A46" s="2">
        <v>3</v>
      </c>
      <c r="B46" s="4">
        <v>2.33</v>
      </c>
      <c r="C46" s="4">
        <v>2.11</v>
      </c>
    </row>
    <row r="47" spans="1:35" x14ac:dyDescent="0.25">
      <c r="A47" s="2">
        <v>4</v>
      </c>
      <c r="B47" s="4">
        <v>1.1499999999999999</v>
      </c>
      <c r="C47" s="4">
        <v>1.1499999999999999</v>
      </c>
    </row>
    <row r="48" spans="1:35" x14ac:dyDescent="0.25">
      <c r="A48" s="2">
        <v>5</v>
      </c>
      <c r="B48" s="4">
        <v>3.04</v>
      </c>
      <c r="C48" s="4">
        <v>4.7699999999999996</v>
      </c>
    </row>
    <row r="49" spans="1:11" x14ac:dyDescent="0.25">
      <c r="A49" s="2">
        <v>6</v>
      </c>
      <c r="B49" s="4">
        <v>-2.2400000000000002</v>
      </c>
      <c r="C49" s="4">
        <v>3.24</v>
      </c>
    </row>
    <row r="50" spans="1:11" x14ac:dyDescent="0.25">
      <c r="A50" s="2">
        <v>7</v>
      </c>
      <c r="B50" s="4">
        <v>9.51</v>
      </c>
      <c r="C50" s="4">
        <v>3.61</v>
      </c>
    </row>
    <row r="51" spans="1:11" x14ac:dyDescent="0.25">
      <c r="A51" s="2">
        <v>8</v>
      </c>
      <c r="B51" s="4">
        <v>0.39</v>
      </c>
      <c r="C51" s="4">
        <v>0.03</v>
      </c>
    </row>
    <row r="53" spans="1:11" x14ac:dyDescent="0.25">
      <c r="A53" s="40" t="s">
        <v>13</v>
      </c>
      <c r="B53" s="41"/>
      <c r="C53" s="41"/>
      <c r="D53" s="41"/>
      <c r="E53" s="41"/>
      <c r="F53" s="41"/>
      <c r="G53" s="41"/>
      <c r="H53" s="3"/>
      <c r="I53" s="3"/>
      <c r="J53" s="3"/>
      <c r="K53" s="3"/>
    </row>
    <row r="54" spans="1:11" x14ac:dyDescent="0.25">
      <c r="A54" s="2" t="s">
        <v>1</v>
      </c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2" t="s">
        <v>0</v>
      </c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2">
        <v>1</v>
      </c>
      <c r="B56" s="7">
        <v>-42</v>
      </c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2">
        <v>2</v>
      </c>
      <c r="B57" s="7">
        <v>-56</v>
      </c>
    </row>
    <row r="58" spans="1:11" x14ac:dyDescent="0.25">
      <c r="A58" s="2">
        <v>3</v>
      </c>
      <c r="B58" s="7">
        <v>-48</v>
      </c>
    </row>
    <row r="59" spans="1:11" x14ac:dyDescent="0.25">
      <c r="A59" s="2">
        <v>4</v>
      </c>
      <c r="B59" s="7">
        <v>-71</v>
      </c>
    </row>
    <row r="60" spans="1:11" x14ac:dyDescent="0.25">
      <c r="A60" s="2">
        <v>5</v>
      </c>
      <c r="B60" s="7">
        <v>-63</v>
      </c>
    </row>
    <row r="61" spans="1:11" x14ac:dyDescent="0.25">
      <c r="A61" s="2">
        <v>6</v>
      </c>
      <c r="B61" s="7">
        <v>-51</v>
      </c>
    </row>
    <row r="62" spans="1:11" x14ac:dyDescent="0.25">
      <c r="A62" s="2">
        <v>7</v>
      </c>
      <c r="B62" s="7">
        <v>-51</v>
      </c>
    </row>
    <row r="63" spans="1:11" x14ac:dyDescent="0.25">
      <c r="A63" s="2">
        <v>8</v>
      </c>
      <c r="B63" s="7">
        <v>-39</v>
      </c>
    </row>
    <row r="64" spans="1:11" x14ac:dyDescent="0.25">
      <c r="A64" s="2" t="s">
        <v>2</v>
      </c>
      <c r="B64" s="8"/>
    </row>
    <row r="65" spans="1:29" x14ac:dyDescent="0.25">
      <c r="A65" s="2" t="s">
        <v>0</v>
      </c>
      <c r="B65" s="8"/>
    </row>
    <row r="66" spans="1:29" x14ac:dyDescent="0.25">
      <c r="A66" s="2">
        <v>1</v>
      </c>
      <c r="B66" s="7">
        <v>-28</v>
      </c>
    </row>
    <row r="67" spans="1:29" x14ac:dyDescent="0.25">
      <c r="A67" s="2">
        <v>2</v>
      </c>
      <c r="B67" s="7">
        <v>-63</v>
      </c>
    </row>
    <row r="68" spans="1:29" x14ac:dyDescent="0.25">
      <c r="A68" s="2">
        <v>3</v>
      </c>
      <c r="B68" s="7">
        <v>-28</v>
      </c>
    </row>
    <row r="69" spans="1:29" x14ac:dyDescent="0.25">
      <c r="A69" s="2">
        <v>4</v>
      </c>
      <c r="B69" s="7">
        <v>-42</v>
      </c>
    </row>
    <row r="70" spans="1:29" x14ac:dyDescent="0.25">
      <c r="A70" s="2">
        <v>5</v>
      </c>
      <c r="B70" s="7">
        <v>-49</v>
      </c>
    </row>
    <row r="71" spans="1:29" x14ac:dyDescent="0.25">
      <c r="A71" s="2">
        <v>6</v>
      </c>
      <c r="B71" s="7">
        <v>-58</v>
      </c>
    </row>
    <row r="72" spans="1:29" x14ac:dyDescent="0.25">
      <c r="A72" s="2">
        <v>7</v>
      </c>
      <c r="B72" s="7">
        <v>-35</v>
      </c>
    </row>
    <row r="73" spans="1:29" x14ac:dyDescent="0.25">
      <c r="A73" s="2">
        <v>8</v>
      </c>
      <c r="B73" s="7">
        <v>-42</v>
      </c>
    </row>
    <row r="74" spans="1:29" x14ac:dyDescent="0.25">
      <c r="B74" s="7"/>
    </row>
    <row r="75" spans="1:29" x14ac:dyDescent="0.25">
      <c r="A75" s="40" t="s">
        <v>15</v>
      </c>
      <c r="B75" s="41"/>
      <c r="C75" s="41"/>
      <c r="D75" s="41"/>
      <c r="E75" s="41"/>
      <c r="F75" s="41"/>
      <c r="G75" s="41"/>
    </row>
    <row r="76" spans="1:29" x14ac:dyDescent="0.25">
      <c r="A76" s="2" t="s">
        <v>1</v>
      </c>
    </row>
    <row r="77" spans="1:29" x14ac:dyDescent="0.25">
      <c r="A77" s="2" t="s">
        <v>0</v>
      </c>
      <c r="B77" s="2" t="s">
        <v>16</v>
      </c>
      <c r="C77" s="2" t="s">
        <v>17</v>
      </c>
      <c r="D77" s="2" t="s">
        <v>18</v>
      </c>
      <c r="E77" s="2" t="s">
        <v>19</v>
      </c>
      <c r="F77" s="2" t="s">
        <v>20</v>
      </c>
      <c r="G77" s="2" t="s">
        <v>21</v>
      </c>
      <c r="H77" s="2" t="s">
        <v>22</v>
      </c>
      <c r="I77" s="2" t="s">
        <v>23</v>
      </c>
      <c r="J77" s="2" t="s">
        <v>24</v>
      </c>
      <c r="K77" s="2" t="s">
        <v>25</v>
      </c>
      <c r="L77" s="2" t="s">
        <v>26</v>
      </c>
      <c r="M77" s="2" t="s">
        <v>27</v>
      </c>
      <c r="N77" s="2" t="s">
        <v>28</v>
      </c>
      <c r="O77" s="2" t="s">
        <v>42</v>
      </c>
      <c r="P77" s="2" t="s">
        <v>29</v>
      </c>
      <c r="Q77" s="2" t="s">
        <v>30</v>
      </c>
      <c r="R77" s="2" t="s">
        <v>31</v>
      </c>
      <c r="S77" s="2" t="s">
        <v>32</v>
      </c>
      <c r="T77" s="2" t="s">
        <v>33</v>
      </c>
      <c r="U77" s="2" t="s">
        <v>34</v>
      </c>
      <c r="V77" s="2" t="s">
        <v>35</v>
      </c>
      <c r="W77" s="2" t="s">
        <v>36</v>
      </c>
      <c r="X77" s="2" t="s">
        <v>43</v>
      </c>
      <c r="Y77" s="2" t="s">
        <v>37</v>
      </c>
      <c r="Z77" s="2" t="s">
        <v>38</v>
      </c>
      <c r="AA77" s="2" t="s">
        <v>39</v>
      </c>
      <c r="AB77" s="2" t="s">
        <v>40</v>
      </c>
      <c r="AC77" s="2" t="s">
        <v>41</v>
      </c>
    </row>
    <row r="78" spans="1:29" x14ac:dyDescent="0.25">
      <c r="A78" s="2">
        <v>1</v>
      </c>
      <c r="B78" s="10">
        <v>0.41</v>
      </c>
      <c r="C78" s="10">
        <v>1.77</v>
      </c>
      <c r="D78" s="10">
        <v>0.83</v>
      </c>
      <c r="E78" s="10">
        <v>0.88</v>
      </c>
      <c r="F78" s="10">
        <v>1.08</v>
      </c>
      <c r="G78" s="10">
        <v>3.73</v>
      </c>
      <c r="H78" s="10">
        <v>0.84</v>
      </c>
      <c r="I78" s="10">
        <v>0.71</v>
      </c>
      <c r="J78" s="10">
        <v>0.66</v>
      </c>
      <c r="K78" s="10">
        <v>0.57999999999999996</v>
      </c>
      <c r="L78" s="10">
        <v>0.54</v>
      </c>
      <c r="M78" s="10">
        <v>1.03</v>
      </c>
      <c r="N78" s="10">
        <v>1.52</v>
      </c>
      <c r="O78" s="10">
        <v>0.47</v>
      </c>
      <c r="P78" s="10">
        <v>1.31</v>
      </c>
      <c r="Q78" s="10">
        <v>0.64</v>
      </c>
      <c r="R78" s="10">
        <v>0.8</v>
      </c>
      <c r="S78" s="10">
        <v>0.77</v>
      </c>
      <c r="T78" s="10">
        <v>0.44</v>
      </c>
      <c r="U78" s="10">
        <v>0.95</v>
      </c>
      <c r="V78" s="10">
        <v>0.79</v>
      </c>
      <c r="W78" s="10">
        <v>0.62</v>
      </c>
      <c r="X78" s="10">
        <v>0.61</v>
      </c>
      <c r="Y78" s="10">
        <v>0.83</v>
      </c>
      <c r="Z78" s="10">
        <v>0.77</v>
      </c>
      <c r="AA78" s="10">
        <v>0.76</v>
      </c>
      <c r="AB78" s="10">
        <v>0.75</v>
      </c>
      <c r="AC78" s="10">
        <v>0.76</v>
      </c>
    </row>
    <row r="79" spans="1:29" x14ac:dyDescent="0.25">
      <c r="A79" s="2">
        <v>2</v>
      </c>
      <c r="B79" s="10">
        <v>0.17</v>
      </c>
      <c r="C79" s="10">
        <v>2.54</v>
      </c>
      <c r="D79" s="10">
        <v>1.81</v>
      </c>
      <c r="E79" s="10">
        <v>0.35</v>
      </c>
      <c r="F79" s="10">
        <v>0.31</v>
      </c>
      <c r="G79" s="10">
        <v>5.59</v>
      </c>
      <c r="H79" s="10">
        <v>1.29</v>
      </c>
      <c r="I79" s="10">
        <v>0.28999999999999998</v>
      </c>
      <c r="J79" s="10">
        <v>3.1</v>
      </c>
      <c r="K79" s="10">
        <v>2.12</v>
      </c>
      <c r="L79" s="10">
        <v>1.34</v>
      </c>
      <c r="M79" s="10">
        <v>0.64</v>
      </c>
      <c r="N79" s="10">
        <v>19.920000000000002</v>
      </c>
      <c r="O79" s="10">
        <v>1.35</v>
      </c>
      <c r="P79" s="10">
        <v>0.61</v>
      </c>
      <c r="Q79" s="10">
        <v>5.93</v>
      </c>
      <c r="R79" s="10">
        <v>6.46</v>
      </c>
      <c r="S79" s="10">
        <v>10.29</v>
      </c>
      <c r="T79" s="10">
        <v>0.03</v>
      </c>
      <c r="U79" s="10">
        <v>1.08</v>
      </c>
      <c r="V79" s="10">
        <v>3.45</v>
      </c>
      <c r="W79" s="10">
        <v>0.6</v>
      </c>
      <c r="X79" s="10">
        <v>0.52</v>
      </c>
      <c r="Y79" s="10">
        <v>0.02</v>
      </c>
      <c r="Z79" s="10">
        <v>0.71</v>
      </c>
      <c r="AA79" s="10">
        <v>0.28000000000000003</v>
      </c>
      <c r="AB79" s="10">
        <v>2.5499999999999998</v>
      </c>
      <c r="AC79" s="10">
        <v>0.99</v>
      </c>
    </row>
    <row r="80" spans="1:29" x14ac:dyDescent="0.25">
      <c r="A80" s="2">
        <v>3</v>
      </c>
      <c r="B80" s="10">
        <v>1.08</v>
      </c>
      <c r="C80" s="10">
        <v>1.72</v>
      </c>
      <c r="D80" s="10">
        <v>1.55</v>
      </c>
      <c r="E80" s="10">
        <v>1.1200000000000001</v>
      </c>
      <c r="F80" s="10">
        <v>0.89</v>
      </c>
      <c r="G80" s="10">
        <v>1.35</v>
      </c>
      <c r="H80" s="10">
        <v>1.08</v>
      </c>
      <c r="I80" s="10">
        <v>1.08</v>
      </c>
      <c r="J80" s="10">
        <v>1.55</v>
      </c>
      <c r="K80" s="10">
        <v>0.8</v>
      </c>
      <c r="L80" s="10">
        <v>1.46</v>
      </c>
      <c r="M80" s="10">
        <v>1.25</v>
      </c>
      <c r="N80" s="10">
        <v>3.94</v>
      </c>
      <c r="O80" s="10">
        <v>1.06</v>
      </c>
      <c r="P80" s="10">
        <v>1.1399999999999999</v>
      </c>
      <c r="Q80" s="10">
        <v>1.1499999999999999</v>
      </c>
      <c r="R80" s="10">
        <v>0.91</v>
      </c>
      <c r="S80" s="10">
        <v>1.47</v>
      </c>
      <c r="T80" s="10">
        <v>0.91</v>
      </c>
      <c r="U80" s="10">
        <v>2.2599999999999998</v>
      </c>
      <c r="V80" s="10">
        <v>0.39</v>
      </c>
      <c r="W80" s="10">
        <v>0.99</v>
      </c>
      <c r="X80" s="10">
        <v>2.0099999999999998</v>
      </c>
      <c r="Y80" s="10">
        <v>1.1499999999999999</v>
      </c>
      <c r="Z80" s="10">
        <v>0.97</v>
      </c>
      <c r="AA80" s="10">
        <v>1.1499999999999999</v>
      </c>
      <c r="AB80" s="10">
        <v>1.44</v>
      </c>
      <c r="AC80" s="10">
        <v>1.57</v>
      </c>
    </row>
    <row r="81" spans="1:29" x14ac:dyDescent="0.25">
      <c r="A81" s="2">
        <v>4</v>
      </c>
      <c r="B81" s="10">
        <v>1.32</v>
      </c>
      <c r="C81" s="10">
        <v>2.2599999999999998</v>
      </c>
      <c r="D81" s="10">
        <v>1.33</v>
      </c>
      <c r="E81" s="10">
        <v>1.27</v>
      </c>
      <c r="F81" s="10">
        <v>0.91</v>
      </c>
      <c r="G81" s="10">
        <v>1.6</v>
      </c>
      <c r="H81" s="10">
        <v>1.22</v>
      </c>
      <c r="I81" s="10">
        <v>1.1599999999999999</v>
      </c>
      <c r="J81" s="10">
        <v>1.1000000000000001</v>
      </c>
      <c r="K81" s="10">
        <v>1.49</v>
      </c>
      <c r="L81" s="10">
        <v>1.49</v>
      </c>
      <c r="M81" s="10">
        <v>1.22</v>
      </c>
      <c r="N81" s="10">
        <v>8.02</v>
      </c>
      <c r="O81" s="10">
        <v>1.4</v>
      </c>
      <c r="P81" s="10">
        <v>1.7</v>
      </c>
      <c r="Q81" s="10">
        <v>0.89</v>
      </c>
      <c r="R81" s="10">
        <v>1.08</v>
      </c>
      <c r="S81" s="10">
        <v>0.71</v>
      </c>
      <c r="T81" s="10">
        <v>0.96</v>
      </c>
      <c r="U81" s="10">
        <v>1.58</v>
      </c>
      <c r="V81" s="10">
        <v>1.2</v>
      </c>
      <c r="W81" s="10">
        <v>1.55</v>
      </c>
      <c r="X81" s="10">
        <v>1.55</v>
      </c>
      <c r="Y81" s="10">
        <v>1.65</v>
      </c>
      <c r="Z81" s="10">
        <v>1.0900000000000001</v>
      </c>
      <c r="AA81" s="10">
        <v>1.24</v>
      </c>
      <c r="AB81" s="10">
        <v>0.82</v>
      </c>
      <c r="AC81" s="10">
        <v>1.67</v>
      </c>
    </row>
    <row r="82" spans="1:29" x14ac:dyDescent="0.25">
      <c r="A82" s="2">
        <v>5</v>
      </c>
      <c r="B82" s="10">
        <v>0.45</v>
      </c>
      <c r="C82" s="10">
        <v>1.88</v>
      </c>
      <c r="D82" s="10">
        <v>0.85</v>
      </c>
      <c r="E82" s="10">
        <v>0.92</v>
      </c>
      <c r="F82" s="10">
        <v>1.03</v>
      </c>
      <c r="G82" s="10">
        <v>1.7</v>
      </c>
      <c r="H82" s="10">
        <v>0.6</v>
      </c>
      <c r="I82" s="10">
        <v>0.85</v>
      </c>
      <c r="J82" s="10">
        <v>0.75</v>
      </c>
      <c r="K82" s="10">
        <v>0.47</v>
      </c>
      <c r="L82" s="10">
        <v>0.91</v>
      </c>
      <c r="M82" s="10">
        <v>0.91</v>
      </c>
      <c r="N82" s="10">
        <v>3.32</v>
      </c>
      <c r="O82" s="10">
        <v>0.71</v>
      </c>
      <c r="P82" s="10">
        <v>1</v>
      </c>
      <c r="Q82" s="10">
        <v>0.93</v>
      </c>
      <c r="R82" s="10">
        <v>0.62</v>
      </c>
      <c r="S82" s="10">
        <v>1.9</v>
      </c>
      <c r="T82" s="10">
        <v>0.96</v>
      </c>
      <c r="U82" s="10">
        <v>1.29</v>
      </c>
      <c r="V82" s="10">
        <v>0.85</v>
      </c>
      <c r="W82" s="10">
        <v>1.29</v>
      </c>
      <c r="X82" s="10">
        <v>1.04</v>
      </c>
      <c r="Y82" s="10">
        <v>1.67</v>
      </c>
      <c r="Z82" s="10">
        <v>0.91</v>
      </c>
      <c r="AA82" s="10">
        <v>0.83</v>
      </c>
      <c r="AB82" s="10">
        <v>1</v>
      </c>
      <c r="AC82" s="10">
        <v>0.82</v>
      </c>
    </row>
    <row r="83" spans="1:29" x14ac:dyDescent="0.25">
      <c r="A83" s="2">
        <v>6</v>
      </c>
      <c r="B83" s="10">
        <v>1.34</v>
      </c>
      <c r="C83" s="10">
        <v>4.6500000000000004</v>
      </c>
      <c r="D83" s="10">
        <v>1.34</v>
      </c>
      <c r="E83" s="10">
        <v>1.44</v>
      </c>
      <c r="F83" s="10">
        <v>1.83</v>
      </c>
      <c r="G83" s="10">
        <v>1.04</v>
      </c>
      <c r="H83" s="10">
        <v>0.86</v>
      </c>
      <c r="I83" s="10">
        <v>1.72</v>
      </c>
      <c r="J83" s="10">
        <v>1.08</v>
      </c>
      <c r="K83" s="10">
        <v>0.78</v>
      </c>
      <c r="L83" s="10">
        <v>0.92</v>
      </c>
      <c r="M83" s="10">
        <v>1.21</v>
      </c>
      <c r="N83" s="10">
        <v>6.38</v>
      </c>
      <c r="O83" s="10">
        <v>1.28</v>
      </c>
      <c r="P83" s="10">
        <v>1.82</v>
      </c>
      <c r="Q83" s="10">
        <v>0.87</v>
      </c>
      <c r="R83" s="10">
        <v>1.38</v>
      </c>
      <c r="S83" s="10">
        <v>0.74</v>
      </c>
      <c r="T83" s="10">
        <v>1.08</v>
      </c>
      <c r="U83" s="10">
        <v>1.55</v>
      </c>
      <c r="V83" s="10">
        <v>1.64</v>
      </c>
      <c r="W83" s="10">
        <v>1.6</v>
      </c>
      <c r="X83" s="10">
        <v>1.72</v>
      </c>
      <c r="Y83" s="10">
        <v>1.57</v>
      </c>
      <c r="Z83" s="10">
        <v>1.37</v>
      </c>
      <c r="AA83" s="10">
        <v>1.4</v>
      </c>
      <c r="AB83" s="10">
        <v>3.11</v>
      </c>
      <c r="AC83" s="10">
        <v>1.31</v>
      </c>
    </row>
    <row r="84" spans="1:29" x14ac:dyDescent="0.25">
      <c r="A84" s="2">
        <v>7</v>
      </c>
      <c r="B84" s="10">
        <v>0.81</v>
      </c>
      <c r="C84" s="10">
        <v>1.34</v>
      </c>
      <c r="D84" s="10">
        <v>0.84</v>
      </c>
      <c r="E84" s="10">
        <v>0.93</v>
      </c>
      <c r="F84" s="10">
        <v>0.9</v>
      </c>
      <c r="G84" s="10">
        <v>3.55</v>
      </c>
      <c r="H84" s="10">
        <v>0.96</v>
      </c>
      <c r="I84" s="10">
        <v>0.8</v>
      </c>
      <c r="J84" s="10">
        <v>0.93</v>
      </c>
      <c r="K84" s="10">
        <v>0.84</v>
      </c>
      <c r="L84" s="10">
        <v>0.82</v>
      </c>
      <c r="M84" s="10">
        <v>1.23</v>
      </c>
      <c r="N84" s="10">
        <v>3.18</v>
      </c>
      <c r="O84" s="10">
        <v>0.95</v>
      </c>
      <c r="P84" s="10">
        <v>1.27</v>
      </c>
      <c r="Q84" s="10">
        <v>0.84</v>
      </c>
      <c r="R84" s="10">
        <v>1.54</v>
      </c>
      <c r="S84" s="10">
        <v>1.1399999999999999</v>
      </c>
      <c r="T84" s="10">
        <v>1.23</v>
      </c>
      <c r="U84" s="10">
        <v>1.23</v>
      </c>
      <c r="V84" s="10">
        <v>0.8</v>
      </c>
      <c r="W84" s="10">
        <v>1.53</v>
      </c>
      <c r="X84" s="10">
        <v>0.96</v>
      </c>
      <c r="Y84" s="10">
        <v>1.23</v>
      </c>
      <c r="Z84" s="10">
        <v>1.24</v>
      </c>
      <c r="AA84" s="10">
        <v>1</v>
      </c>
      <c r="AB84" s="10">
        <v>0.97</v>
      </c>
      <c r="AC84" s="10">
        <v>1.08</v>
      </c>
    </row>
    <row r="85" spans="1:29" x14ac:dyDescent="0.25">
      <c r="A85" s="2" t="s">
        <v>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x14ac:dyDescent="0.25">
      <c r="A86" s="2" t="s">
        <v>0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x14ac:dyDescent="0.25">
      <c r="A87" s="2">
        <v>1</v>
      </c>
      <c r="B87" s="10">
        <v>0.53</v>
      </c>
      <c r="C87" s="10">
        <v>4.47</v>
      </c>
      <c r="D87" s="10">
        <v>0.69</v>
      </c>
      <c r="E87" s="10">
        <v>0.66</v>
      </c>
      <c r="F87" s="10">
        <v>0.76</v>
      </c>
      <c r="G87" s="10">
        <v>4.68</v>
      </c>
      <c r="H87" s="10">
        <v>0.88</v>
      </c>
      <c r="I87" s="10">
        <v>0.44</v>
      </c>
      <c r="J87" s="10">
        <v>0.63</v>
      </c>
      <c r="K87" s="10">
        <v>0.53</v>
      </c>
      <c r="L87" s="10">
        <v>0.56000000000000005</v>
      </c>
      <c r="M87" s="10">
        <v>0.92</v>
      </c>
      <c r="N87" s="10">
        <v>1.31</v>
      </c>
      <c r="O87" s="10">
        <v>0.64</v>
      </c>
      <c r="P87" s="10">
        <v>1.66</v>
      </c>
      <c r="Q87" s="10">
        <v>0.38</v>
      </c>
      <c r="R87" s="10">
        <v>0.61</v>
      </c>
      <c r="S87" s="10">
        <v>0.45</v>
      </c>
      <c r="T87" s="10">
        <v>0.37</v>
      </c>
      <c r="U87" s="10">
        <v>0.53</v>
      </c>
      <c r="V87" s="10">
        <v>0.54</v>
      </c>
      <c r="W87" s="10">
        <v>0.49</v>
      </c>
      <c r="X87" s="10">
        <v>0.43</v>
      </c>
      <c r="Y87" s="10">
        <v>0.54</v>
      </c>
      <c r="Z87" s="10">
        <v>0.64</v>
      </c>
      <c r="AA87" s="10">
        <v>0.64</v>
      </c>
      <c r="AB87" s="10">
        <v>0.19</v>
      </c>
      <c r="AC87" s="10">
        <v>0.47</v>
      </c>
    </row>
    <row r="88" spans="1:29" x14ac:dyDescent="0.25">
      <c r="A88" s="2">
        <v>2</v>
      </c>
      <c r="B88" s="10">
        <v>0.34</v>
      </c>
      <c r="C88" s="10">
        <v>1.58</v>
      </c>
      <c r="D88" s="10">
        <v>0.81</v>
      </c>
      <c r="E88" s="10">
        <v>0.62</v>
      </c>
      <c r="F88" s="10">
        <v>0.46</v>
      </c>
      <c r="G88" s="10">
        <v>4.8</v>
      </c>
      <c r="H88" s="10">
        <v>1.03</v>
      </c>
      <c r="I88" s="10">
        <v>0.45</v>
      </c>
      <c r="J88" s="10">
        <v>0.89</v>
      </c>
      <c r="K88" s="10">
        <v>0.97</v>
      </c>
      <c r="L88" s="10">
        <v>1.1200000000000001</v>
      </c>
      <c r="M88" s="10">
        <v>0.88</v>
      </c>
      <c r="N88" s="10">
        <v>7.2</v>
      </c>
      <c r="O88" s="10">
        <v>1.02</v>
      </c>
      <c r="P88" s="10">
        <v>0.88</v>
      </c>
      <c r="Q88" s="10">
        <v>1.31</v>
      </c>
      <c r="R88" s="10">
        <v>2.02</v>
      </c>
      <c r="S88" s="10">
        <v>0.95</v>
      </c>
      <c r="T88" s="10">
        <v>0.43</v>
      </c>
      <c r="U88" s="10">
        <v>0.6</v>
      </c>
      <c r="V88" s="10">
        <v>0.42</v>
      </c>
      <c r="W88" s="10">
        <v>0.7</v>
      </c>
      <c r="X88" s="10">
        <v>0.78</v>
      </c>
      <c r="Y88" s="10">
        <v>0.64</v>
      </c>
      <c r="Z88" s="10">
        <v>0.76</v>
      </c>
      <c r="AA88" s="10">
        <v>0.52</v>
      </c>
      <c r="AB88" s="10">
        <v>0.53</v>
      </c>
      <c r="AC88" s="10">
        <v>1.23</v>
      </c>
    </row>
    <row r="89" spans="1:29" x14ac:dyDescent="0.25">
      <c r="A89" s="2">
        <v>3</v>
      </c>
      <c r="B89" s="10">
        <v>0.97</v>
      </c>
      <c r="C89" s="10">
        <v>2.3199999999999998</v>
      </c>
      <c r="D89" s="10">
        <v>0.9</v>
      </c>
      <c r="E89" s="10">
        <v>1.1499999999999999</v>
      </c>
      <c r="F89" s="10">
        <v>1.86</v>
      </c>
      <c r="G89" s="10">
        <v>6.68</v>
      </c>
      <c r="H89" s="10">
        <v>1.64</v>
      </c>
      <c r="I89" s="10">
        <v>1.38</v>
      </c>
      <c r="J89" s="10">
        <v>1.29</v>
      </c>
      <c r="K89" s="10">
        <v>1.04</v>
      </c>
      <c r="L89" s="10">
        <v>1.07</v>
      </c>
      <c r="M89" s="10">
        <v>1.45</v>
      </c>
      <c r="N89" s="10">
        <v>6.18</v>
      </c>
      <c r="O89" s="10">
        <v>1.01</v>
      </c>
      <c r="P89" s="10">
        <v>2.0299999999999998</v>
      </c>
      <c r="Q89" s="10">
        <v>1.01</v>
      </c>
      <c r="R89" s="10">
        <v>1.22</v>
      </c>
      <c r="S89" s="10">
        <v>1.1200000000000001</v>
      </c>
      <c r="T89" s="10">
        <v>0.86</v>
      </c>
      <c r="U89" s="10">
        <v>1.39</v>
      </c>
      <c r="V89" s="10">
        <v>1.03</v>
      </c>
      <c r="W89" s="10">
        <v>1.18</v>
      </c>
      <c r="X89" s="10">
        <v>1.17</v>
      </c>
      <c r="Y89" s="10">
        <v>1.68</v>
      </c>
      <c r="Z89" s="10">
        <v>1.35</v>
      </c>
      <c r="AA89" s="10">
        <v>0.9</v>
      </c>
      <c r="AB89" s="10">
        <v>1.02</v>
      </c>
      <c r="AC89" s="10">
        <v>1.75</v>
      </c>
    </row>
    <row r="90" spans="1:29" x14ac:dyDescent="0.25">
      <c r="A90" s="2">
        <v>4</v>
      </c>
      <c r="B90" s="10">
        <v>0.97</v>
      </c>
      <c r="C90" s="10">
        <v>1.03</v>
      </c>
      <c r="D90" s="10">
        <v>1.49</v>
      </c>
      <c r="E90" s="10">
        <v>1.19</v>
      </c>
      <c r="F90" s="10">
        <v>1.05</v>
      </c>
      <c r="G90" s="10">
        <v>2.97</v>
      </c>
      <c r="H90" s="10">
        <v>1.1100000000000001</v>
      </c>
      <c r="I90" s="10">
        <v>0.66</v>
      </c>
      <c r="J90" s="10">
        <v>1.07</v>
      </c>
      <c r="K90" s="10">
        <v>1.26</v>
      </c>
      <c r="L90" s="10">
        <v>0.92</v>
      </c>
      <c r="M90" s="10">
        <v>1.1100000000000001</v>
      </c>
      <c r="N90" s="10">
        <v>6.19</v>
      </c>
      <c r="O90" s="10">
        <v>1.32</v>
      </c>
      <c r="P90" s="10">
        <v>1.49</v>
      </c>
      <c r="Q90" s="10">
        <v>1.52</v>
      </c>
      <c r="R90" s="10">
        <v>1.8</v>
      </c>
      <c r="S90" s="10">
        <v>1.68</v>
      </c>
      <c r="T90" s="10">
        <v>0.74</v>
      </c>
      <c r="U90" s="10">
        <v>1.51</v>
      </c>
      <c r="V90" s="10">
        <v>1.02</v>
      </c>
      <c r="W90" s="10">
        <v>1.1000000000000001</v>
      </c>
      <c r="X90" s="10">
        <v>1.88</v>
      </c>
      <c r="Y90" s="10">
        <v>1.42</v>
      </c>
      <c r="Z90" s="10">
        <v>1.44</v>
      </c>
      <c r="AA90" s="10">
        <v>1.18</v>
      </c>
      <c r="AB90" s="10">
        <v>1.74</v>
      </c>
      <c r="AC90" s="10">
        <v>1.8</v>
      </c>
    </row>
    <row r="91" spans="1:29" x14ac:dyDescent="0.25">
      <c r="A91" s="2">
        <v>5</v>
      </c>
      <c r="B91" s="10">
        <v>0.7</v>
      </c>
      <c r="C91" s="10">
        <v>3.18</v>
      </c>
      <c r="D91" s="10">
        <v>1.36</v>
      </c>
      <c r="E91" s="10">
        <v>1.72</v>
      </c>
      <c r="F91" s="10">
        <v>1.74</v>
      </c>
      <c r="G91" s="10">
        <v>0.73</v>
      </c>
      <c r="H91" s="10">
        <v>0.95</v>
      </c>
      <c r="I91" s="10">
        <v>2.36</v>
      </c>
      <c r="J91" s="10">
        <v>1.1000000000000001</v>
      </c>
      <c r="K91" s="10">
        <v>0.74</v>
      </c>
      <c r="L91" s="10">
        <v>1.1599999999999999</v>
      </c>
      <c r="M91" s="10">
        <v>1.49</v>
      </c>
      <c r="N91" s="10">
        <v>8.7899999999999991</v>
      </c>
      <c r="O91" s="10">
        <v>1.19</v>
      </c>
      <c r="P91" s="10">
        <v>1.26</v>
      </c>
      <c r="Q91" s="10">
        <v>0.85</v>
      </c>
      <c r="R91" s="10">
        <v>0.76</v>
      </c>
      <c r="S91" s="10">
        <v>1.04</v>
      </c>
      <c r="T91" s="10">
        <v>0.85</v>
      </c>
      <c r="U91" s="10">
        <v>1.29</v>
      </c>
      <c r="V91" s="10">
        <v>2.08</v>
      </c>
      <c r="W91" s="10">
        <v>2.11</v>
      </c>
      <c r="X91" s="10">
        <v>1.47</v>
      </c>
      <c r="Y91" s="10">
        <v>1.83</v>
      </c>
      <c r="Z91" s="10">
        <v>0.76</v>
      </c>
      <c r="AA91" s="10">
        <v>1.35</v>
      </c>
      <c r="AB91" s="10">
        <v>1.64</v>
      </c>
      <c r="AC91" s="10">
        <v>1.4</v>
      </c>
    </row>
    <row r="92" spans="1:29" x14ac:dyDescent="0.25">
      <c r="A92" s="2">
        <v>6</v>
      </c>
      <c r="B92" s="10">
        <v>1.68</v>
      </c>
      <c r="C92" s="10">
        <v>2.31</v>
      </c>
      <c r="D92" s="10">
        <v>1.42</v>
      </c>
      <c r="E92" s="10">
        <v>1.34</v>
      </c>
      <c r="F92" s="10">
        <v>1.83</v>
      </c>
      <c r="G92" s="10">
        <v>0.48</v>
      </c>
      <c r="H92" s="10">
        <v>0.89</v>
      </c>
      <c r="I92" s="10">
        <v>1.33</v>
      </c>
      <c r="J92" s="10">
        <v>1</v>
      </c>
      <c r="K92" s="10">
        <v>0.68</v>
      </c>
      <c r="L92" s="10">
        <v>0.86</v>
      </c>
      <c r="M92" s="10">
        <v>1.48</v>
      </c>
      <c r="N92" s="10">
        <v>2.94</v>
      </c>
      <c r="O92" s="10">
        <v>0.88</v>
      </c>
      <c r="P92" s="10">
        <v>2.2000000000000002</v>
      </c>
      <c r="Q92" s="10">
        <v>0.95</v>
      </c>
      <c r="R92" s="10">
        <v>1</v>
      </c>
      <c r="S92" s="10">
        <v>1.17</v>
      </c>
      <c r="T92" s="10">
        <v>1.19</v>
      </c>
      <c r="U92" s="10">
        <v>2</v>
      </c>
      <c r="V92" s="10">
        <v>1.17</v>
      </c>
      <c r="W92" s="10">
        <v>1.23</v>
      </c>
      <c r="X92" s="10">
        <v>0.96</v>
      </c>
      <c r="Y92" s="10">
        <v>1.41</v>
      </c>
      <c r="Z92" s="10">
        <v>1.01</v>
      </c>
      <c r="AA92" s="10">
        <v>1.23</v>
      </c>
      <c r="AB92" s="10">
        <v>1.38</v>
      </c>
      <c r="AC92" s="10">
        <v>0.89</v>
      </c>
    </row>
    <row r="93" spans="1:29" x14ac:dyDescent="0.25">
      <c r="A93" s="2">
        <v>7</v>
      </c>
      <c r="B93" s="10">
        <v>0.86</v>
      </c>
      <c r="C93" s="10">
        <v>1.47</v>
      </c>
      <c r="D93" s="10">
        <v>1</v>
      </c>
      <c r="E93" s="10">
        <v>0.93</v>
      </c>
      <c r="F93" s="10">
        <v>1.57</v>
      </c>
      <c r="G93" s="10">
        <v>0.98</v>
      </c>
      <c r="H93" s="10">
        <v>1.06</v>
      </c>
      <c r="I93" s="10">
        <v>1.1599999999999999</v>
      </c>
      <c r="J93" s="10">
        <v>0.84</v>
      </c>
      <c r="K93" s="10">
        <v>0.95</v>
      </c>
      <c r="L93" s="10">
        <v>0.73</v>
      </c>
      <c r="M93" s="10">
        <v>1.44</v>
      </c>
      <c r="N93" s="10">
        <v>2.75</v>
      </c>
      <c r="O93" s="10">
        <v>0.93</v>
      </c>
      <c r="P93" s="10">
        <v>1.47</v>
      </c>
      <c r="Q93" s="10">
        <v>0.72</v>
      </c>
      <c r="R93" s="10">
        <v>1.08</v>
      </c>
      <c r="S93" s="10">
        <v>0.91</v>
      </c>
      <c r="T93" s="10">
        <v>0.9</v>
      </c>
      <c r="U93" s="10">
        <v>1.85</v>
      </c>
      <c r="V93" s="10">
        <v>0.94</v>
      </c>
      <c r="W93" s="10">
        <v>1.88</v>
      </c>
      <c r="X93" s="10">
        <v>1.0900000000000001</v>
      </c>
      <c r="Y93" s="10">
        <v>1.88</v>
      </c>
      <c r="Z93" s="10">
        <v>0.88</v>
      </c>
      <c r="AA93" s="10">
        <v>1.2</v>
      </c>
      <c r="AB93" s="10">
        <v>0.93</v>
      </c>
      <c r="AC93" s="10">
        <v>0.92</v>
      </c>
    </row>
  </sheetData>
  <mergeCells count="11">
    <mergeCell ref="A75:G75"/>
    <mergeCell ref="Z1:AG1"/>
    <mergeCell ref="Z16:AG16"/>
    <mergeCell ref="A31:G31"/>
    <mergeCell ref="A53:G53"/>
    <mergeCell ref="B1:I1"/>
    <mergeCell ref="B16:I16"/>
    <mergeCell ref="J1:Q1"/>
    <mergeCell ref="J16:Q16"/>
    <mergeCell ref="R1:Y1"/>
    <mergeCell ref="R16:Y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Y77"/>
  <sheetViews>
    <sheetView tabSelected="1" zoomScaleNormal="100" workbookViewId="0">
      <pane xSplit="1" topLeftCell="FE1" activePane="topRight" state="frozen"/>
      <selection pane="topRight" activeCell="FR19" sqref="FR19"/>
    </sheetView>
  </sheetViews>
  <sheetFormatPr defaultRowHeight="15" x14ac:dyDescent="0.25"/>
  <cols>
    <col min="1" max="1" width="20" bestFit="1" customWidth="1"/>
    <col min="2" max="2" width="6.85546875" bestFit="1" customWidth="1"/>
    <col min="3" max="3" width="20" bestFit="1" customWidth="1"/>
    <col min="4" max="4" width="19" bestFit="1" customWidth="1"/>
    <col min="5" max="5" width="19.28515625" bestFit="1" customWidth="1"/>
    <col min="6" max="6" width="25.85546875" bestFit="1" customWidth="1"/>
    <col min="7" max="8" width="24.85546875" bestFit="1" customWidth="1"/>
    <col min="9" max="9" width="29.7109375" bestFit="1" customWidth="1"/>
    <col min="10" max="11" width="28.7109375" bestFit="1" customWidth="1"/>
    <col min="12" max="12" width="27.42578125" style="1" bestFit="1" customWidth="1"/>
    <col min="13" max="14" width="26.5703125" style="1" bestFit="1" customWidth="1"/>
    <col min="15" max="15" width="18.7109375" style="1" bestFit="1" customWidth="1"/>
    <col min="16" max="17" width="17.85546875" style="1" bestFit="1" customWidth="1"/>
    <col min="18" max="18" width="28.42578125" style="26" bestFit="1" customWidth="1"/>
    <col min="19" max="20" width="27.7109375" style="26" bestFit="1" customWidth="1"/>
    <col min="21" max="21" width="27.5703125" style="26" bestFit="1" customWidth="1"/>
    <col min="22" max="23" width="38.42578125" style="1" bestFit="1" customWidth="1"/>
    <col min="24" max="24" width="30.28515625" style="1" bestFit="1" customWidth="1"/>
    <col min="25" max="32" width="30.7109375" style="1" bestFit="1" customWidth="1"/>
    <col min="33" max="33" width="32" style="1" bestFit="1" customWidth="1"/>
    <col min="34" max="34" width="31.42578125" style="1" bestFit="1" customWidth="1"/>
    <col min="35" max="39" width="32" style="1" bestFit="1" customWidth="1"/>
    <col min="40" max="40" width="47.85546875" style="1" bestFit="1" customWidth="1"/>
    <col min="41" max="41" width="40.5703125" style="1" bestFit="1" customWidth="1"/>
    <col min="42" max="49" width="41" style="1" bestFit="1" customWidth="1"/>
    <col min="50" max="50" width="42.140625" style="1" bestFit="1" customWidth="1"/>
    <col min="51" max="51" width="41.5703125" style="1" bestFit="1" customWidth="1"/>
    <col min="52" max="56" width="42.140625" style="1" bestFit="1" customWidth="1"/>
    <col min="57" max="57" width="58.7109375" style="1" bestFit="1" customWidth="1"/>
    <col min="58" max="58" width="35.28515625" style="1" bestFit="1" customWidth="1"/>
    <col min="59" max="66" width="35.7109375" style="1" bestFit="1" customWidth="1"/>
    <col min="67" max="67" width="36.85546875" style="1" bestFit="1" customWidth="1"/>
    <col min="68" max="68" width="36.28515625" style="1" bestFit="1" customWidth="1"/>
    <col min="69" max="73" width="36.85546875" style="1" bestFit="1" customWidth="1"/>
    <col min="74" max="74" width="53.5703125" style="1" bestFit="1" customWidth="1"/>
    <col min="75" max="75" width="40" style="1" bestFit="1" customWidth="1"/>
    <col min="76" max="76" width="39.140625" style="1" bestFit="1" customWidth="1"/>
    <col min="77" max="77" width="44.85546875" style="1" bestFit="1" customWidth="1"/>
    <col min="78" max="78" width="44" style="1" bestFit="1" customWidth="1"/>
    <col min="79" max="79" width="44.42578125" style="1" bestFit="1" customWidth="1"/>
    <col min="80" max="80" width="43.5703125" style="1" bestFit="1" customWidth="1"/>
    <col min="81" max="81" width="37.7109375" style="1" bestFit="1" customWidth="1"/>
    <col min="82" max="82" width="36.85546875" style="1" bestFit="1" customWidth="1"/>
    <col min="119" max="119" width="42.5703125" bestFit="1" customWidth="1"/>
    <col min="120" max="120" width="41.42578125" bestFit="1" customWidth="1"/>
    <col min="121" max="121" width="41.7109375" bestFit="1" customWidth="1"/>
    <col min="122" max="122" width="40.7109375" bestFit="1" customWidth="1"/>
    <col min="123" max="123" width="44.140625" bestFit="1" customWidth="1"/>
    <col min="124" max="124" width="43.42578125" bestFit="1" customWidth="1"/>
    <col min="125" max="125" width="37.5703125" style="4" bestFit="1" customWidth="1"/>
    <col min="154" max="154" width="35.85546875" bestFit="1" customWidth="1"/>
    <col min="155" max="155" width="34.85546875" bestFit="1" customWidth="1"/>
    <col min="156" max="156" width="38.5703125" bestFit="1" customWidth="1"/>
    <col min="157" max="157" width="37.42578125" bestFit="1" customWidth="1"/>
    <col min="158" max="158" width="9.85546875" bestFit="1" customWidth="1"/>
    <col min="159" max="159" width="10.42578125" bestFit="1" customWidth="1"/>
    <col min="160" max="160" width="11" bestFit="1" customWidth="1"/>
    <col min="161" max="161" width="11.140625" bestFit="1" customWidth="1"/>
    <col min="162" max="162" width="12.85546875" bestFit="1" customWidth="1"/>
    <col min="163" max="163" width="6.7109375" bestFit="1" customWidth="1"/>
    <col min="164" max="164" width="5.28515625" bestFit="1" customWidth="1"/>
    <col min="165" max="165" width="5.42578125" bestFit="1" customWidth="1"/>
    <col min="166" max="166" width="6.7109375" bestFit="1" customWidth="1"/>
    <col min="167" max="167" width="6.42578125" bestFit="1" customWidth="1"/>
    <col min="168" max="168" width="7.5703125" bestFit="1" customWidth="1"/>
    <col min="169" max="170" width="6.5703125" bestFit="1" customWidth="1"/>
    <col min="172" max="172" width="6" bestFit="1" customWidth="1"/>
    <col min="173" max="173" width="6.28515625" bestFit="1" customWidth="1"/>
    <col min="174" max="174" width="6.140625" bestFit="1" customWidth="1"/>
    <col min="175" max="175" width="32.7109375" bestFit="1" customWidth="1"/>
    <col min="176" max="176" width="34.5703125" bestFit="1" customWidth="1"/>
    <col min="207" max="207" width="59.5703125" bestFit="1" customWidth="1"/>
  </cols>
  <sheetData>
    <row r="1" spans="1:207" s="18" customFormat="1" x14ac:dyDescent="0.25">
      <c r="A1" s="16"/>
      <c r="B1" s="16" t="s">
        <v>47</v>
      </c>
      <c r="C1" s="17" t="s">
        <v>46</v>
      </c>
      <c r="D1" s="17" t="s">
        <v>44</v>
      </c>
      <c r="E1" s="17" t="s">
        <v>45</v>
      </c>
      <c r="F1" s="17" t="s">
        <v>50</v>
      </c>
      <c r="G1" s="17" t="s">
        <v>51</v>
      </c>
      <c r="H1" s="17" t="s">
        <v>52</v>
      </c>
      <c r="I1" s="17" t="s">
        <v>53</v>
      </c>
      <c r="J1" s="17" t="s">
        <v>54</v>
      </c>
      <c r="K1" s="17" t="s">
        <v>55</v>
      </c>
      <c r="L1" s="17" t="s">
        <v>56</v>
      </c>
      <c r="M1" s="17" t="s">
        <v>57</v>
      </c>
      <c r="N1" s="17" t="s">
        <v>58</v>
      </c>
      <c r="O1" s="17" t="s">
        <v>60</v>
      </c>
      <c r="P1" s="17" t="s">
        <v>61</v>
      </c>
      <c r="Q1" s="17" t="s">
        <v>62</v>
      </c>
      <c r="R1" s="17" t="s">
        <v>103</v>
      </c>
      <c r="S1" s="17" t="s">
        <v>104</v>
      </c>
      <c r="T1" s="17" t="s">
        <v>105</v>
      </c>
      <c r="U1" s="17" t="s">
        <v>63</v>
      </c>
      <c r="V1" s="17" t="s">
        <v>64</v>
      </c>
      <c r="W1" s="17" t="s">
        <v>65</v>
      </c>
      <c r="X1" s="17" t="s">
        <v>148</v>
      </c>
      <c r="Y1" s="17" t="s">
        <v>149</v>
      </c>
      <c r="Z1" s="17" t="s">
        <v>150</v>
      </c>
      <c r="AA1" s="17" t="s">
        <v>151</v>
      </c>
      <c r="AB1" s="17" t="s">
        <v>152</v>
      </c>
      <c r="AC1" s="17" t="s">
        <v>153</v>
      </c>
      <c r="AD1" s="17" t="s">
        <v>154</v>
      </c>
      <c r="AE1" s="17" t="s">
        <v>155</v>
      </c>
      <c r="AF1" s="17" t="s">
        <v>156</v>
      </c>
      <c r="AG1" s="17" t="s">
        <v>157</v>
      </c>
      <c r="AH1" s="17" t="s">
        <v>158</v>
      </c>
      <c r="AI1" s="17" t="s">
        <v>159</v>
      </c>
      <c r="AJ1" s="17" t="s">
        <v>160</v>
      </c>
      <c r="AK1" s="17" t="s">
        <v>161</v>
      </c>
      <c r="AL1" s="17" t="s">
        <v>162</v>
      </c>
      <c r="AM1" s="17" t="s">
        <v>163</v>
      </c>
      <c r="AN1" s="17" t="s">
        <v>181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182</v>
      </c>
      <c r="BF1" s="17" t="s">
        <v>183</v>
      </c>
      <c r="BG1" s="17" t="s">
        <v>184</v>
      </c>
      <c r="BH1" s="17" t="s">
        <v>185</v>
      </c>
      <c r="BI1" s="17" t="s">
        <v>186</v>
      </c>
      <c r="BJ1" s="17" t="s">
        <v>187</v>
      </c>
      <c r="BK1" s="17" t="s">
        <v>188</v>
      </c>
      <c r="BL1" s="17" t="s">
        <v>189</v>
      </c>
      <c r="BM1" s="17" t="s">
        <v>190</v>
      </c>
      <c r="BN1" s="17" t="s">
        <v>191</v>
      </c>
      <c r="BO1" s="17" t="s">
        <v>192</v>
      </c>
      <c r="BP1" s="17" t="s">
        <v>193</v>
      </c>
      <c r="BQ1" s="17" t="s">
        <v>194</v>
      </c>
      <c r="BR1" s="17" t="s">
        <v>195</v>
      </c>
      <c r="BS1" s="17" t="s">
        <v>196</v>
      </c>
      <c r="BT1" s="17" t="s">
        <v>197</v>
      </c>
      <c r="BU1" s="17" t="s">
        <v>198</v>
      </c>
      <c r="BV1" s="17" t="s">
        <v>199</v>
      </c>
      <c r="BW1" s="17" t="s">
        <v>66</v>
      </c>
      <c r="BX1" s="17" t="s">
        <v>67</v>
      </c>
      <c r="BY1" s="17" t="s">
        <v>68</v>
      </c>
      <c r="BZ1" s="17" t="s">
        <v>71</v>
      </c>
      <c r="CA1" s="17" t="s">
        <v>69</v>
      </c>
      <c r="CB1" s="17" t="s">
        <v>70</v>
      </c>
      <c r="CC1" s="17" t="s">
        <v>72</v>
      </c>
      <c r="CD1" s="17" t="s">
        <v>73</v>
      </c>
      <c r="CE1" s="46" t="s">
        <v>88</v>
      </c>
      <c r="CF1" s="48"/>
      <c r="CG1" s="48"/>
      <c r="CH1" s="48"/>
      <c r="CI1" s="48"/>
      <c r="CJ1" s="48"/>
      <c r="CK1" s="48"/>
      <c r="CL1" s="48"/>
      <c r="CM1" s="48"/>
      <c r="CN1" s="46" t="s">
        <v>89</v>
      </c>
      <c r="CO1" s="48"/>
      <c r="CP1" s="48"/>
      <c r="CQ1" s="48"/>
      <c r="CR1" s="48"/>
      <c r="CS1" s="48"/>
      <c r="CT1" s="48"/>
      <c r="CU1" s="48"/>
      <c r="CV1" s="48"/>
      <c r="CW1" s="46" t="s">
        <v>90</v>
      </c>
      <c r="CX1" s="48"/>
      <c r="CY1" s="48"/>
      <c r="CZ1" s="48"/>
      <c r="DA1" s="48"/>
      <c r="DB1" s="48"/>
      <c r="DC1" s="48"/>
      <c r="DD1" s="48"/>
      <c r="DE1" s="48"/>
      <c r="DF1" s="46" t="s">
        <v>91</v>
      </c>
      <c r="DG1" s="48"/>
      <c r="DH1" s="48"/>
      <c r="DI1" s="48"/>
      <c r="DJ1" s="48"/>
      <c r="DK1" s="48"/>
      <c r="DL1" s="48"/>
      <c r="DM1" s="48"/>
      <c r="DN1" s="48"/>
      <c r="DO1" s="29" t="s">
        <v>121</v>
      </c>
      <c r="DP1" s="29" t="s">
        <v>122</v>
      </c>
      <c r="DQ1" s="29" t="s">
        <v>123</v>
      </c>
      <c r="DR1" s="29" t="s">
        <v>124</v>
      </c>
      <c r="DS1" s="29" t="s">
        <v>146</v>
      </c>
      <c r="DT1" s="29" t="s">
        <v>147</v>
      </c>
      <c r="DU1" s="18" t="s">
        <v>92</v>
      </c>
      <c r="DV1" s="44" t="s">
        <v>94</v>
      </c>
      <c r="DW1" s="49"/>
      <c r="DX1" s="49"/>
      <c r="DY1" s="49"/>
      <c r="DZ1" s="49"/>
      <c r="EA1" s="49"/>
      <c r="EB1" s="49"/>
      <c r="EC1" s="44" t="s">
        <v>95</v>
      </c>
      <c r="ED1" s="49"/>
      <c r="EE1" s="49"/>
      <c r="EF1" s="49"/>
      <c r="EG1" s="49"/>
      <c r="EH1" s="49"/>
      <c r="EI1" s="49"/>
      <c r="EJ1" s="44" t="s">
        <v>97</v>
      </c>
      <c r="EK1" s="45"/>
      <c r="EL1" s="45"/>
      <c r="EM1" s="45"/>
      <c r="EN1" s="45"/>
      <c r="EO1" s="45"/>
      <c r="EP1" s="45"/>
      <c r="EQ1" s="44" t="s">
        <v>98</v>
      </c>
      <c r="ER1" s="45"/>
      <c r="ES1" s="45"/>
      <c r="ET1" s="45"/>
      <c r="EU1" s="45"/>
      <c r="EV1" s="45"/>
      <c r="EW1" s="45"/>
      <c r="EX1" s="29" t="s">
        <v>99</v>
      </c>
      <c r="EY1" s="29" t="s">
        <v>102</v>
      </c>
      <c r="EZ1" s="29" t="s">
        <v>100</v>
      </c>
      <c r="FA1" s="29" t="s">
        <v>101</v>
      </c>
      <c r="FB1" s="44" t="s">
        <v>120</v>
      </c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5" t="s">
        <v>201</v>
      </c>
      <c r="FT1" s="5" t="s">
        <v>203</v>
      </c>
      <c r="FU1" s="46" t="s">
        <v>142</v>
      </c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6" t="s">
        <v>143</v>
      </c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18" t="s">
        <v>145</v>
      </c>
    </row>
    <row r="2" spans="1:207" s="18" customFormat="1" x14ac:dyDescent="0.25">
      <c r="A2" s="16" t="s">
        <v>200</v>
      </c>
      <c r="B2" s="16" t="s">
        <v>48</v>
      </c>
      <c r="C2" s="17" t="s">
        <v>49</v>
      </c>
      <c r="D2" s="17" t="s">
        <v>49</v>
      </c>
      <c r="E2" s="17" t="s">
        <v>49</v>
      </c>
      <c r="F2" s="17" t="s">
        <v>74</v>
      </c>
      <c r="G2" s="17" t="s">
        <v>74</v>
      </c>
      <c r="H2" s="17" t="s">
        <v>74</v>
      </c>
      <c r="I2" s="17" t="s">
        <v>48</v>
      </c>
      <c r="J2" s="17" t="s">
        <v>48</v>
      </c>
      <c r="K2" s="17" t="s">
        <v>48</v>
      </c>
      <c r="L2" s="17" t="s">
        <v>48</v>
      </c>
      <c r="M2" s="17" t="s">
        <v>48</v>
      </c>
      <c r="N2" s="17" t="s">
        <v>48</v>
      </c>
      <c r="O2" s="17" t="s">
        <v>76</v>
      </c>
      <c r="P2" s="17" t="s">
        <v>76</v>
      </c>
      <c r="Q2" s="17" t="s">
        <v>76</v>
      </c>
      <c r="R2" s="17" t="s">
        <v>106</v>
      </c>
      <c r="S2" s="17" t="s">
        <v>106</v>
      </c>
      <c r="T2" s="17" t="s">
        <v>106</v>
      </c>
      <c r="U2" s="17" t="s">
        <v>75</v>
      </c>
      <c r="V2" s="17" t="s">
        <v>75</v>
      </c>
      <c r="W2" s="17" t="s">
        <v>75</v>
      </c>
      <c r="X2" s="17" t="s">
        <v>180</v>
      </c>
      <c r="Y2" s="17" t="s">
        <v>180</v>
      </c>
      <c r="Z2" s="17" t="s">
        <v>180</v>
      </c>
      <c r="AA2" s="17" t="s">
        <v>180</v>
      </c>
      <c r="AB2" s="17" t="s">
        <v>180</v>
      </c>
      <c r="AC2" s="17" t="s">
        <v>180</v>
      </c>
      <c r="AD2" s="17" t="s">
        <v>180</v>
      </c>
      <c r="AE2" s="17" t="s">
        <v>180</v>
      </c>
      <c r="AF2" s="17" t="s">
        <v>180</v>
      </c>
      <c r="AG2" s="17" t="s">
        <v>180</v>
      </c>
      <c r="AH2" s="17" t="s">
        <v>180</v>
      </c>
      <c r="AI2" s="17" t="s">
        <v>180</v>
      </c>
      <c r="AJ2" s="17" t="s">
        <v>180</v>
      </c>
      <c r="AK2" s="17" t="s">
        <v>180</v>
      </c>
      <c r="AL2" s="17" t="s">
        <v>180</v>
      </c>
      <c r="AM2" s="17" t="s">
        <v>180</v>
      </c>
      <c r="AN2" s="17" t="s">
        <v>180</v>
      </c>
      <c r="AO2" s="17" t="s">
        <v>180</v>
      </c>
      <c r="AP2" s="17" t="s">
        <v>180</v>
      </c>
      <c r="AQ2" s="17" t="s">
        <v>180</v>
      </c>
      <c r="AR2" s="17" t="s">
        <v>180</v>
      </c>
      <c r="AS2" s="17" t="s">
        <v>180</v>
      </c>
      <c r="AT2" s="17" t="s">
        <v>180</v>
      </c>
      <c r="AU2" s="17" t="s">
        <v>180</v>
      </c>
      <c r="AV2" s="17" t="s">
        <v>180</v>
      </c>
      <c r="AW2" s="17" t="s">
        <v>180</v>
      </c>
      <c r="AX2" s="17" t="s">
        <v>180</v>
      </c>
      <c r="AY2" s="17" t="s">
        <v>180</v>
      </c>
      <c r="AZ2" s="17" t="s">
        <v>180</v>
      </c>
      <c r="BA2" s="17" t="s">
        <v>180</v>
      </c>
      <c r="BB2" s="17" t="s">
        <v>180</v>
      </c>
      <c r="BC2" s="17" t="s">
        <v>180</v>
      </c>
      <c r="BD2" s="17" t="s">
        <v>180</v>
      </c>
      <c r="BE2" s="17" t="s">
        <v>180</v>
      </c>
      <c r="BF2" s="17" t="s">
        <v>180</v>
      </c>
      <c r="BG2" s="17" t="s">
        <v>180</v>
      </c>
      <c r="BH2" s="17" t="s">
        <v>180</v>
      </c>
      <c r="BI2" s="17" t="s">
        <v>180</v>
      </c>
      <c r="BJ2" s="17" t="s">
        <v>180</v>
      </c>
      <c r="BK2" s="17" t="s">
        <v>180</v>
      </c>
      <c r="BL2" s="17" t="s">
        <v>180</v>
      </c>
      <c r="BM2" s="17" t="s">
        <v>180</v>
      </c>
      <c r="BN2" s="17" t="s">
        <v>180</v>
      </c>
      <c r="BO2" s="17" t="s">
        <v>180</v>
      </c>
      <c r="BP2" s="17" t="s">
        <v>180</v>
      </c>
      <c r="BQ2" s="17" t="s">
        <v>180</v>
      </c>
      <c r="BR2" s="17" t="s">
        <v>180</v>
      </c>
      <c r="BS2" s="17" t="s">
        <v>180</v>
      </c>
      <c r="BT2" s="17" t="s">
        <v>180</v>
      </c>
      <c r="BU2" s="17" t="s">
        <v>180</v>
      </c>
      <c r="BV2" s="17" t="s">
        <v>180</v>
      </c>
      <c r="BW2" s="17" t="s">
        <v>77</v>
      </c>
      <c r="BX2" s="17" t="s">
        <v>77</v>
      </c>
      <c r="BY2" s="17" t="s">
        <v>77</v>
      </c>
      <c r="BZ2" s="17" t="s">
        <v>77</v>
      </c>
      <c r="CA2" s="17" t="s">
        <v>77</v>
      </c>
      <c r="CB2" s="17" t="s">
        <v>77</v>
      </c>
      <c r="CC2" s="17" t="s">
        <v>78</v>
      </c>
      <c r="CD2" s="17" t="s">
        <v>78</v>
      </c>
      <c r="CE2" s="28" t="s">
        <v>87</v>
      </c>
      <c r="CF2" s="28" t="s">
        <v>79</v>
      </c>
      <c r="CG2" s="28" t="s">
        <v>80</v>
      </c>
      <c r="CH2" s="28" t="s">
        <v>81</v>
      </c>
      <c r="CI2" s="28" t="s">
        <v>82</v>
      </c>
      <c r="CJ2" s="28" t="s">
        <v>83</v>
      </c>
      <c r="CK2" s="28" t="s">
        <v>84</v>
      </c>
      <c r="CL2" s="28" t="s">
        <v>85</v>
      </c>
      <c r="CM2" s="28" t="s">
        <v>86</v>
      </c>
      <c r="CN2" s="28" t="s">
        <v>87</v>
      </c>
      <c r="CO2" s="28" t="s">
        <v>79</v>
      </c>
      <c r="CP2" s="28" t="s">
        <v>80</v>
      </c>
      <c r="CQ2" s="28" t="s">
        <v>81</v>
      </c>
      <c r="CR2" s="28" t="s">
        <v>82</v>
      </c>
      <c r="CS2" s="28" t="s">
        <v>83</v>
      </c>
      <c r="CT2" s="28" t="s">
        <v>84</v>
      </c>
      <c r="CU2" s="28" t="s">
        <v>85</v>
      </c>
      <c r="CV2" s="28" t="s">
        <v>86</v>
      </c>
      <c r="CW2" s="28" t="s">
        <v>87</v>
      </c>
      <c r="CX2" s="28" t="s">
        <v>79</v>
      </c>
      <c r="CY2" s="28" t="s">
        <v>80</v>
      </c>
      <c r="CZ2" s="28" t="s">
        <v>81</v>
      </c>
      <c r="DA2" s="28" t="s">
        <v>82</v>
      </c>
      <c r="DB2" s="28" t="s">
        <v>83</v>
      </c>
      <c r="DC2" s="28" t="s">
        <v>84</v>
      </c>
      <c r="DD2" s="28" t="s">
        <v>85</v>
      </c>
      <c r="DE2" s="28" t="s">
        <v>86</v>
      </c>
      <c r="DF2" s="28" t="s">
        <v>87</v>
      </c>
      <c r="DG2" s="28" t="s">
        <v>79</v>
      </c>
      <c r="DH2" s="28" t="s">
        <v>80</v>
      </c>
      <c r="DI2" s="28" t="s">
        <v>81</v>
      </c>
      <c r="DJ2" s="28" t="s">
        <v>82</v>
      </c>
      <c r="DK2" s="28" t="s">
        <v>83</v>
      </c>
      <c r="DL2" s="28" t="s">
        <v>84</v>
      </c>
      <c r="DM2" s="28" t="s">
        <v>85</v>
      </c>
      <c r="DN2" s="28" t="s">
        <v>86</v>
      </c>
      <c r="DO2" s="28" t="s">
        <v>125</v>
      </c>
      <c r="DP2" s="28" t="s">
        <v>125</v>
      </c>
      <c r="DQ2" s="28" t="s">
        <v>126</v>
      </c>
      <c r="DR2" s="28" t="s">
        <v>126</v>
      </c>
      <c r="DS2" s="18" t="s">
        <v>93</v>
      </c>
      <c r="DT2" s="18" t="s">
        <v>93</v>
      </c>
      <c r="DU2" s="18" t="s">
        <v>93</v>
      </c>
      <c r="DV2" s="18" t="s">
        <v>96</v>
      </c>
      <c r="DW2" s="18" t="s">
        <v>79</v>
      </c>
      <c r="DX2" s="18" t="s">
        <v>80</v>
      </c>
      <c r="DY2" s="18" t="s">
        <v>81</v>
      </c>
      <c r="DZ2" s="18" t="s">
        <v>82</v>
      </c>
      <c r="EA2" s="18" t="s">
        <v>84</v>
      </c>
      <c r="EB2" s="18" t="s">
        <v>86</v>
      </c>
      <c r="EC2" s="18" t="s">
        <v>96</v>
      </c>
      <c r="ED2" s="18" t="s">
        <v>79</v>
      </c>
      <c r="EE2" s="18" t="s">
        <v>80</v>
      </c>
      <c r="EF2" s="18" t="s">
        <v>81</v>
      </c>
      <c r="EG2" s="18" t="s">
        <v>82</v>
      </c>
      <c r="EH2" s="18" t="s">
        <v>84</v>
      </c>
      <c r="EI2" s="18" t="s">
        <v>86</v>
      </c>
      <c r="EJ2" s="18" t="s">
        <v>96</v>
      </c>
      <c r="EK2" s="28" t="s">
        <v>79</v>
      </c>
      <c r="EL2" s="28" t="s">
        <v>80</v>
      </c>
      <c r="EM2" s="28" t="s">
        <v>81</v>
      </c>
      <c r="EN2" s="28" t="s">
        <v>82</v>
      </c>
      <c r="EO2" s="18" t="s">
        <v>84</v>
      </c>
      <c r="EP2" s="18" t="s">
        <v>86</v>
      </c>
      <c r="EQ2" s="18" t="s">
        <v>96</v>
      </c>
      <c r="ER2" s="28" t="s">
        <v>79</v>
      </c>
      <c r="ES2" s="28" t="s">
        <v>80</v>
      </c>
      <c r="ET2" s="28" t="s">
        <v>81</v>
      </c>
      <c r="EU2" s="28" t="s">
        <v>82</v>
      </c>
      <c r="EV2" s="18" t="s">
        <v>84</v>
      </c>
      <c r="EW2" s="18" t="s">
        <v>86</v>
      </c>
      <c r="EX2" s="18" t="s">
        <v>107</v>
      </c>
      <c r="EY2" s="18" t="s">
        <v>107</v>
      </c>
      <c r="EZ2" s="18" t="s">
        <v>107</v>
      </c>
      <c r="FA2" s="18" t="s">
        <v>107</v>
      </c>
      <c r="FB2" s="2" t="s">
        <v>108</v>
      </c>
      <c r="FC2" s="2" t="s">
        <v>109</v>
      </c>
      <c r="FD2" s="2" t="s">
        <v>110</v>
      </c>
      <c r="FE2" s="2" t="s">
        <v>111</v>
      </c>
      <c r="FF2" s="2" t="s">
        <v>112</v>
      </c>
      <c r="FG2" s="2" t="s">
        <v>28</v>
      </c>
      <c r="FH2" s="2" t="s">
        <v>35</v>
      </c>
      <c r="FI2" s="2" t="s">
        <v>30</v>
      </c>
      <c r="FJ2" s="28" t="s">
        <v>19</v>
      </c>
      <c r="FK2" s="31" t="s">
        <v>113</v>
      </c>
      <c r="FL2" s="22" t="s">
        <v>114</v>
      </c>
      <c r="FM2" s="22" t="s">
        <v>115</v>
      </c>
      <c r="FN2" s="22" t="s">
        <v>116</v>
      </c>
      <c r="FO2" s="22" t="s">
        <v>117</v>
      </c>
      <c r="FP2" s="22" t="s">
        <v>18</v>
      </c>
      <c r="FQ2" s="22" t="s">
        <v>118</v>
      </c>
      <c r="FR2" s="22" t="s">
        <v>119</v>
      </c>
      <c r="FS2" s="27" t="s">
        <v>202</v>
      </c>
      <c r="FT2" s="27" t="s">
        <v>202</v>
      </c>
      <c r="FU2" s="32" t="s">
        <v>127</v>
      </c>
      <c r="FV2" s="32" t="s">
        <v>128</v>
      </c>
      <c r="FW2" s="32" t="s">
        <v>129</v>
      </c>
      <c r="FX2" s="32" t="s">
        <v>130</v>
      </c>
      <c r="FY2" s="32" t="s">
        <v>131</v>
      </c>
      <c r="FZ2" s="32" t="s">
        <v>132</v>
      </c>
      <c r="GA2" s="32" t="s">
        <v>133</v>
      </c>
      <c r="GB2" s="32" t="s">
        <v>134</v>
      </c>
      <c r="GC2" s="32" t="s">
        <v>135</v>
      </c>
      <c r="GD2" s="32" t="s">
        <v>136</v>
      </c>
      <c r="GE2" s="32" t="s">
        <v>137</v>
      </c>
      <c r="GF2" s="32" t="s">
        <v>138</v>
      </c>
      <c r="GG2" s="32" t="s">
        <v>139</v>
      </c>
      <c r="GH2" s="32" t="s">
        <v>140</v>
      </c>
      <c r="GI2" s="32" t="s">
        <v>141</v>
      </c>
      <c r="GJ2" s="32" t="s">
        <v>127</v>
      </c>
      <c r="GK2" s="32" t="s">
        <v>128</v>
      </c>
      <c r="GL2" s="32" t="s">
        <v>129</v>
      </c>
      <c r="GM2" s="32" t="s">
        <v>130</v>
      </c>
      <c r="GN2" s="32" t="s">
        <v>131</v>
      </c>
      <c r="GO2" s="32" t="s">
        <v>132</v>
      </c>
      <c r="GP2" s="32" t="s">
        <v>133</v>
      </c>
      <c r="GQ2" s="32" t="s">
        <v>134</v>
      </c>
      <c r="GR2" s="32" t="s">
        <v>135</v>
      </c>
      <c r="GS2" s="32" t="s">
        <v>136</v>
      </c>
      <c r="GT2" s="32" t="s">
        <v>137</v>
      </c>
      <c r="GU2" s="32" t="s">
        <v>138</v>
      </c>
      <c r="GV2" s="32" t="s">
        <v>139</v>
      </c>
      <c r="GW2" s="32" t="s">
        <v>140</v>
      </c>
      <c r="GX2" s="32" t="s">
        <v>141</v>
      </c>
      <c r="GY2" s="18" t="s">
        <v>144</v>
      </c>
    </row>
    <row r="3" spans="1:207" s="21" customFormat="1" x14ac:dyDescent="0.25">
      <c r="A3" s="18">
        <v>1</v>
      </c>
      <c r="B3" s="24">
        <v>181.4</v>
      </c>
      <c r="C3" s="24">
        <v>150.6</v>
      </c>
      <c r="D3" s="24">
        <v>152.80000000000001</v>
      </c>
      <c r="E3" s="25">
        <v>150.6</v>
      </c>
      <c r="F3" s="34">
        <v>45.969292756631361</v>
      </c>
      <c r="G3" s="34">
        <v>46.640822929703006</v>
      </c>
      <c r="H3" s="34">
        <v>45.969292756631361</v>
      </c>
      <c r="I3" s="20">
        <v>143.19999999999999</v>
      </c>
      <c r="J3" s="20">
        <f>AVERAGE(146.1,145.9)</f>
        <v>146</v>
      </c>
      <c r="K3" s="20">
        <f>(150.2+150.3)/2</f>
        <v>150.25</v>
      </c>
      <c r="L3" s="20">
        <v>130.1</v>
      </c>
      <c r="M3" s="20">
        <f>AVERAGE(130.3,129.9)</f>
        <v>130.10000000000002</v>
      </c>
      <c r="N3" s="20">
        <f>(136.3+136.1)/2</f>
        <v>136.19999999999999</v>
      </c>
      <c r="O3" s="19">
        <v>14.868818547990587</v>
      </c>
      <c r="P3" s="19">
        <v>14.868818547990587</v>
      </c>
      <c r="Q3" s="19">
        <v>14.868818547990587</v>
      </c>
      <c r="R3" s="20">
        <f>100+((132/180)*25)</f>
        <v>118.33333333333333</v>
      </c>
      <c r="S3" s="20">
        <v>118.33333333333333</v>
      </c>
      <c r="T3" s="20">
        <f>100+((83/180)*25)</f>
        <v>111.52777777777777</v>
      </c>
      <c r="U3" s="19">
        <v>0.11647936041014484</v>
      </c>
      <c r="V3" s="19" t="s">
        <v>59</v>
      </c>
      <c r="W3" s="19">
        <v>0.11058521208167038</v>
      </c>
      <c r="X3" s="19" t="s">
        <v>59</v>
      </c>
      <c r="Y3" s="19" t="s">
        <v>59</v>
      </c>
      <c r="Z3" s="19" t="s">
        <v>59</v>
      </c>
      <c r="AA3" s="19" t="s">
        <v>59</v>
      </c>
      <c r="AB3" s="19" t="s">
        <v>59</v>
      </c>
      <c r="AC3" s="19" t="s">
        <v>59</v>
      </c>
      <c r="AD3" s="19" t="s">
        <v>59</v>
      </c>
      <c r="AE3" s="19" t="s">
        <v>59</v>
      </c>
      <c r="AF3" s="19" t="s">
        <v>59</v>
      </c>
      <c r="AG3" s="19" t="s">
        <v>59</v>
      </c>
      <c r="AH3" s="19" t="s">
        <v>59</v>
      </c>
      <c r="AI3" s="19" t="s">
        <v>59</v>
      </c>
      <c r="AJ3" s="19" t="s">
        <v>59</v>
      </c>
      <c r="AK3" s="19" t="s">
        <v>59</v>
      </c>
      <c r="AL3" s="19" t="s">
        <v>59</v>
      </c>
      <c r="AM3" s="19" t="s">
        <v>59</v>
      </c>
      <c r="AN3" s="19" t="s">
        <v>59</v>
      </c>
      <c r="AO3" s="19" t="s">
        <v>59</v>
      </c>
      <c r="AP3" s="19" t="s">
        <v>59</v>
      </c>
      <c r="AQ3" s="19" t="s">
        <v>59</v>
      </c>
      <c r="AR3" s="19" t="s">
        <v>59</v>
      </c>
      <c r="AS3" s="19" t="s">
        <v>59</v>
      </c>
      <c r="AT3" s="19" t="s">
        <v>59</v>
      </c>
      <c r="AU3" s="19" t="s">
        <v>59</v>
      </c>
      <c r="AV3" s="19" t="s">
        <v>59</v>
      </c>
      <c r="AW3" s="19" t="s">
        <v>59</v>
      </c>
      <c r="AX3" s="19" t="s">
        <v>59</v>
      </c>
      <c r="AY3" s="19" t="s">
        <v>59</v>
      </c>
      <c r="AZ3" s="19" t="s">
        <v>59</v>
      </c>
      <c r="BA3" s="19" t="s">
        <v>59</v>
      </c>
      <c r="BB3" s="19" t="s">
        <v>59</v>
      </c>
      <c r="BC3" s="19" t="s">
        <v>59</v>
      </c>
      <c r="BD3" s="19" t="s">
        <v>59</v>
      </c>
      <c r="BE3" s="19" t="s">
        <v>59</v>
      </c>
      <c r="BF3" s="19" t="s">
        <v>59</v>
      </c>
      <c r="BG3" s="19" t="s">
        <v>59</v>
      </c>
      <c r="BH3" s="19" t="s">
        <v>59</v>
      </c>
      <c r="BI3" s="19" t="s">
        <v>59</v>
      </c>
      <c r="BJ3" s="19" t="s">
        <v>59</v>
      </c>
      <c r="BK3" s="19" t="s">
        <v>59</v>
      </c>
      <c r="BL3" s="19" t="s">
        <v>59</v>
      </c>
      <c r="BM3" s="19" t="s">
        <v>59</v>
      </c>
      <c r="BN3" s="19" t="s">
        <v>59</v>
      </c>
      <c r="BO3" s="19" t="s">
        <v>59</v>
      </c>
      <c r="BP3" s="19" t="s">
        <v>59</v>
      </c>
      <c r="BQ3" s="19" t="s">
        <v>59</v>
      </c>
      <c r="BR3" s="19" t="s">
        <v>59</v>
      </c>
      <c r="BS3" s="19" t="s">
        <v>59</v>
      </c>
      <c r="BT3" s="19" t="s">
        <v>59</v>
      </c>
      <c r="BU3" s="19" t="s">
        <v>59</v>
      </c>
      <c r="BV3" s="19" t="s">
        <v>59</v>
      </c>
      <c r="BW3" s="19">
        <v>2.5460000000000003</v>
      </c>
      <c r="BX3" s="19">
        <v>2.1120000000000001</v>
      </c>
      <c r="BY3" s="33">
        <v>0.94</v>
      </c>
      <c r="BZ3" s="33">
        <v>0.84</v>
      </c>
      <c r="CA3" s="19">
        <v>5.84</v>
      </c>
      <c r="CB3" s="19">
        <v>5.31</v>
      </c>
      <c r="CC3" s="20">
        <v>74</v>
      </c>
      <c r="CD3" s="20">
        <v>58</v>
      </c>
      <c r="CE3" s="19">
        <v>5.94</v>
      </c>
      <c r="CF3" s="19">
        <v>8.36</v>
      </c>
      <c r="CG3" s="19">
        <v>12.06</v>
      </c>
      <c r="CH3" s="19">
        <v>13.56</v>
      </c>
      <c r="CI3" s="19">
        <v>13.39</v>
      </c>
      <c r="CJ3" s="19">
        <v>9.86</v>
      </c>
      <c r="CK3" s="19">
        <v>6.98</v>
      </c>
      <c r="CL3" s="19">
        <v>6.05</v>
      </c>
      <c r="CM3" s="19">
        <v>5.61</v>
      </c>
      <c r="CN3" s="13">
        <v>5.84</v>
      </c>
      <c r="CO3" s="13">
        <v>10.19</v>
      </c>
      <c r="CP3" s="13">
        <v>12.34</v>
      </c>
      <c r="CQ3" s="13">
        <v>13.02</v>
      </c>
      <c r="CR3" s="13">
        <v>10.48</v>
      </c>
      <c r="CS3" s="13">
        <v>6.71</v>
      </c>
      <c r="CT3" s="13">
        <v>5.65</v>
      </c>
      <c r="CU3" s="13">
        <v>5.03</v>
      </c>
      <c r="CV3" s="13">
        <v>4.74</v>
      </c>
      <c r="CW3" s="14">
        <v>106.42084791588451</v>
      </c>
      <c r="CX3" s="14">
        <v>426.23388779884544</v>
      </c>
      <c r="CY3" s="14">
        <v>690.87931626614397</v>
      </c>
      <c r="CZ3" s="14">
        <v>865.08324530368941</v>
      </c>
      <c r="DA3" s="14">
        <v>974.50747164296354</v>
      </c>
      <c r="DB3" s="14">
        <v>463.012399562925</v>
      </c>
      <c r="DC3" s="14">
        <v>231.01608690446199</v>
      </c>
      <c r="DD3" s="14">
        <v>154.52650105639901</v>
      </c>
      <c r="DE3" s="14">
        <v>116.671515045847</v>
      </c>
      <c r="DF3" s="14">
        <v>86.936186139139551</v>
      </c>
      <c r="DG3" s="14">
        <v>602.84610519990702</v>
      </c>
      <c r="DH3" s="14">
        <v>662.95986766233852</v>
      </c>
      <c r="DI3" s="14">
        <f>AVERAGE(704.4742056727,749.02411)</f>
        <v>726.74915783634992</v>
      </c>
      <c r="DJ3" s="14">
        <f>AVERAGE(543.102253791897,555.73108)</f>
        <v>549.41666689594854</v>
      </c>
      <c r="DK3" s="14">
        <v>170.68520904380148</v>
      </c>
      <c r="DL3" s="14">
        <v>137.511276087754</v>
      </c>
      <c r="DM3" s="14">
        <v>101.3052994895841</v>
      </c>
      <c r="DN3" s="14">
        <f>AVERAGE(75.0921889851218,90.698385)</f>
        <v>82.895286992560898</v>
      </c>
      <c r="DO3" s="13">
        <v>9.5043749999999996</v>
      </c>
      <c r="DP3" s="13">
        <v>8.588750000000001</v>
      </c>
      <c r="DQ3" s="13">
        <v>489.60063625203674</v>
      </c>
      <c r="DR3" s="13">
        <v>379.54866484769173</v>
      </c>
      <c r="DS3" s="13">
        <v>380.48283388029654</v>
      </c>
      <c r="DT3" s="13">
        <v>399.37315226350665</v>
      </c>
      <c r="DU3" s="19">
        <v>18.890318383210115</v>
      </c>
      <c r="DV3" s="13">
        <v>0.518537531745485</v>
      </c>
      <c r="DW3" s="13">
        <v>0.485153132612197</v>
      </c>
      <c r="DX3" s="13">
        <v>0.43244092345437352</v>
      </c>
      <c r="DY3" s="13">
        <v>0.30593162147559705</v>
      </c>
      <c r="DZ3" s="13">
        <v>0.19875012952135551</v>
      </c>
      <c r="EA3" s="13">
        <v>0.1513091412793145</v>
      </c>
      <c r="EB3" s="13">
        <v>0.14955206764071999</v>
      </c>
      <c r="EC3" s="13">
        <v>0.48163898533500799</v>
      </c>
      <c r="ED3" s="13">
        <v>0.46582532258766102</v>
      </c>
      <c r="EE3" s="13">
        <v>0.44474043892453197</v>
      </c>
      <c r="EF3" s="13">
        <v>0.32525943150013148</v>
      </c>
      <c r="EG3" s="13">
        <v>0.26024770687214949</v>
      </c>
      <c r="EH3" s="13">
        <v>0.18996476132838452</v>
      </c>
      <c r="EI3" s="13">
        <v>0.21983501318448501</v>
      </c>
      <c r="EJ3" s="20">
        <v>668.9130643883534</v>
      </c>
      <c r="EK3" s="20">
        <v>1797.0540097312146</v>
      </c>
      <c r="EL3" s="20">
        <v>3232.8697583494068</v>
      </c>
      <c r="EM3" s="20">
        <v>3649.5127211180711</v>
      </c>
      <c r="EN3" s="20">
        <v>3700.7918549973015</v>
      </c>
      <c r="EO3" s="20">
        <v>2149.5980551508596</v>
      </c>
      <c r="EP3" s="20">
        <v>1380.4110469625466</v>
      </c>
      <c r="EQ3" s="20">
        <v>726.60209000247664</v>
      </c>
      <c r="ER3" s="20">
        <v>2021.4002204528074</v>
      </c>
      <c r="ES3" s="20">
        <v>2319.4601861257797</v>
      </c>
      <c r="ET3" s="20">
        <v>3428.3714562639348</v>
      </c>
      <c r="EU3" s="20">
        <v>3021.3433310976166</v>
      </c>
      <c r="EV3" s="20">
        <v>1591.9374742143336</v>
      </c>
      <c r="EW3" s="20">
        <v>1204.1390242527241</v>
      </c>
      <c r="EX3" s="20">
        <v>3945.1922351755657</v>
      </c>
      <c r="EY3" s="20">
        <v>4248.148773232826</v>
      </c>
      <c r="EZ3" s="20">
        <v>3900.6470358389706</v>
      </c>
      <c r="FA3" s="20">
        <v>3906.2300472905945</v>
      </c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</row>
    <row r="4" spans="1:207" s="21" customFormat="1" x14ac:dyDescent="0.25">
      <c r="A4" s="18">
        <v>2</v>
      </c>
      <c r="B4" s="24">
        <v>177</v>
      </c>
      <c r="C4" s="25">
        <v>93.9</v>
      </c>
      <c r="D4" s="24">
        <v>94.6</v>
      </c>
      <c r="E4" s="24">
        <v>93.5</v>
      </c>
      <c r="F4" s="34">
        <v>29.972230202049218</v>
      </c>
      <c r="G4" s="34">
        <v>30.195665357975034</v>
      </c>
      <c r="H4" s="34">
        <v>29.844552970091605</v>
      </c>
      <c r="I4" s="20">
        <v>101.1</v>
      </c>
      <c r="J4" s="20">
        <v>101.45</v>
      </c>
      <c r="K4" s="20">
        <f>AVERAGE(103.9,103.8)</f>
        <v>103.85</v>
      </c>
      <c r="L4" s="20">
        <v>108.6</v>
      </c>
      <c r="M4" s="20">
        <v>109.5</v>
      </c>
      <c r="N4" s="20">
        <f>AVERAGE(109.9,110)</f>
        <v>109.95</v>
      </c>
      <c r="O4" s="19">
        <v>37.57</v>
      </c>
      <c r="P4" s="19">
        <v>36.494298228511106</v>
      </c>
      <c r="Q4" s="19">
        <v>36.586382425748383</v>
      </c>
      <c r="R4" s="20">
        <v>250</v>
      </c>
      <c r="S4" s="20">
        <f>250+((4/180)*25)</f>
        <v>250.55555555555554</v>
      </c>
      <c r="T4" s="20">
        <f>250+((3/180)*25)</f>
        <v>250.41666666666666</v>
      </c>
      <c r="U4" s="19">
        <v>0.52257670703919024</v>
      </c>
      <c r="V4" s="19">
        <v>0.29483325026290741</v>
      </c>
      <c r="W4" s="19">
        <v>0.4076274601597536</v>
      </c>
      <c r="X4" s="19" t="s">
        <v>59</v>
      </c>
      <c r="Y4" s="19" t="s">
        <v>59</v>
      </c>
      <c r="Z4" s="19" t="s">
        <v>59</v>
      </c>
      <c r="AA4" s="19" t="s">
        <v>59</v>
      </c>
      <c r="AB4" s="19" t="s">
        <v>59</v>
      </c>
      <c r="AC4" s="19" t="s">
        <v>59</v>
      </c>
      <c r="AD4" s="19" t="s">
        <v>59</v>
      </c>
      <c r="AE4" s="19" t="s">
        <v>59</v>
      </c>
      <c r="AF4" s="19" t="s">
        <v>59</v>
      </c>
      <c r="AG4" s="19" t="s">
        <v>59</v>
      </c>
      <c r="AH4" s="19" t="s">
        <v>59</v>
      </c>
      <c r="AI4" s="19" t="s">
        <v>59</v>
      </c>
      <c r="AJ4" s="19" t="s">
        <v>59</v>
      </c>
      <c r="AK4" s="19" t="s">
        <v>59</v>
      </c>
      <c r="AL4" s="19" t="s">
        <v>59</v>
      </c>
      <c r="AM4" s="19" t="s">
        <v>59</v>
      </c>
      <c r="AN4" s="19" t="s">
        <v>59</v>
      </c>
      <c r="AO4" s="19" t="s">
        <v>59</v>
      </c>
      <c r="AP4" s="19" t="s">
        <v>59</v>
      </c>
      <c r="AQ4" s="19" t="s">
        <v>59</v>
      </c>
      <c r="AR4" s="19" t="s">
        <v>59</v>
      </c>
      <c r="AS4" s="19" t="s">
        <v>59</v>
      </c>
      <c r="AT4" s="19" t="s">
        <v>59</v>
      </c>
      <c r="AU4" s="19" t="s">
        <v>59</v>
      </c>
      <c r="AV4" s="19" t="s">
        <v>59</v>
      </c>
      <c r="AW4" s="19" t="s">
        <v>59</v>
      </c>
      <c r="AX4" s="19" t="s">
        <v>59</v>
      </c>
      <c r="AY4" s="19" t="s">
        <v>59</v>
      </c>
      <c r="AZ4" s="19" t="s">
        <v>59</v>
      </c>
      <c r="BA4" s="19" t="s">
        <v>59</v>
      </c>
      <c r="BB4" s="19" t="s">
        <v>59</v>
      </c>
      <c r="BC4" s="19" t="s">
        <v>59</v>
      </c>
      <c r="BD4" s="19" t="s">
        <v>59</v>
      </c>
      <c r="BE4" s="19" t="s">
        <v>59</v>
      </c>
      <c r="BF4" s="19" t="s">
        <v>59</v>
      </c>
      <c r="BG4" s="19" t="s">
        <v>59</v>
      </c>
      <c r="BH4" s="19" t="s">
        <v>59</v>
      </c>
      <c r="BI4" s="19" t="s">
        <v>59</v>
      </c>
      <c r="BJ4" s="19" t="s">
        <v>59</v>
      </c>
      <c r="BK4" s="19" t="s">
        <v>59</v>
      </c>
      <c r="BL4" s="19" t="s">
        <v>59</v>
      </c>
      <c r="BM4" s="19" t="s">
        <v>59</v>
      </c>
      <c r="BN4" s="19" t="s">
        <v>59</v>
      </c>
      <c r="BO4" s="19" t="s">
        <v>59</v>
      </c>
      <c r="BP4" s="19" t="s">
        <v>59</v>
      </c>
      <c r="BQ4" s="19" t="s">
        <v>59</v>
      </c>
      <c r="BR4" s="19" t="s">
        <v>59</v>
      </c>
      <c r="BS4" s="19" t="s">
        <v>59</v>
      </c>
      <c r="BT4" s="19" t="s">
        <v>59</v>
      </c>
      <c r="BU4" s="19" t="s">
        <v>59</v>
      </c>
      <c r="BV4" s="19" t="s">
        <v>59</v>
      </c>
      <c r="BW4" s="19">
        <v>1.5930000000000002</v>
      </c>
      <c r="BX4" s="19">
        <v>2.7849999999999997</v>
      </c>
      <c r="BY4" s="33">
        <v>1.05</v>
      </c>
      <c r="BZ4" s="33">
        <v>1.21</v>
      </c>
      <c r="CA4" s="19">
        <v>4.53</v>
      </c>
      <c r="CB4" s="19">
        <v>5.59</v>
      </c>
      <c r="CC4" s="20">
        <v>7</v>
      </c>
      <c r="CD4" s="20">
        <v>35</v>
      </c>
      <c r="CE4" s="19">
        <v>5.625</v>
      </c>
      <c r="CF4" s="19">
        <v>7.2949999999999999</v>
      </c>
      <c r="CG4" s="19">
        <v>8.9350000000000005</v>
      </c>
      <c r="CH4" s="19">
        <v>9.15</v>
      </c>
      <c r="CI4" s="19">
        <v>7.6400000000000006</v>
      </c>
      <c r="CJ4" s="19">
        <v>9.1350000000000016</v>
      </c>
      <c r="CK4" s="19">
        <v>8.4849999999999994</v>
      </c>
      <c r="CL4" s="19">
        <v>8.8099999999999987</v>
      </c>
      <c r="CM4" s="19">
        <v>7.4649999999999999</v>
      </c>
      <c r="CN4" s="13">
        <v>6.4550000000000001</v>
      </c>
      <c r="CO4" s="13">
        <v>10.559999999999999</v>
      </c>
      <c r="CP4" s="13">
        <v>11.64</v>
      </c>
      <c r="CQ4" s="13">
        <v>11.04</v>
      </c>
      <c r="CR4" s="13">
        <v>10.295</v>
      </c>
      <c r="CS4" s="13">
        <v>11.345000000000001</v>
      </c>
      <c r="CT4" s="13">
        <v>10</v>
      </c>
      <c r="CU4" s="13">
        <v>9.6</v>
      </c>
      <c r="CV4" s="13">
        <v>8.4400000000000013</v>
      </c>
      <c r="CW4" s="14">
        <v>33.241879937292502</v>
      </c>
      <c r="CX4" s="14">
        <v>133.00895479915101</v>
      </c>
      <c r="CY4" s="14">
        <v>189.87581320936749</v>
      </c>
      <c r="CZ4" s="14">
        <v>195.48239509337901</v>
      </c>
      <c r="DA4" s="14">
        <v>145.65126807442851</v>
      </c>
      <c r="DB4" s="14">
        <v>153.24580859790899</v>
      </c>
      <c r="DC4" s="14">
        <v>215.30822259171151</v>
      </c>
      <c r="DD4" s="14">
        <v>179.632225099631</v>
      </c>
      <c r="DE4" s="14">
        <v>169.45732046219899</v>
      </c>
      <c r="DF4" s="14">
        <v>53.455573045294756</v>
      </c>
      <c r="DG4" s="14">
        <v>213.65204842830951</v>
      </c>
      <c r="DH4" s="14">
        <v>425.90520353562454</v>
      </c>
      <c r="DI4" s="14">
        <v>274.43037985680701</v>
      </c>
      <c r="DJ4" s="14">
        <v>216.48647594381248</v>
      </c>
      <c r="DK4" s="14">
        <v>289.88468143379248</v>
      </c>
      <c r="DL4" s="14">
        <v>190.59508684732401</v>
      </c>
      <c r="DM4" s="14">
        <v>290.60393437967048</v>
      </c>
      <c r="DN4" s="14">
        <v>268.01291068258899</v>
      </c>
      <c r="DO4" s="13">
        <v>8.2493750000000006</v>
      </c>
      <c r="DP4" s="13">
        <v>10.240937500000001</v>
      </c>
      <c r="DQ4" s="13">
        <v>164.19428595816544</v>
      </c>
      <c r="DR4" s="13">
        <v>257.78650653616029</v>
      </c>
      <c r="DS4" s="13">
        <v>389.38109479816552</v>
      </c>
      <c r="DT4" s="13">
        <v>361.48919147838842</v>
      </c>
      <c r="DU4" s="19">
        <v>-27.8919033197771</v>
      </c>
      <c r="DV4" s="13">
        <v>0.124953036700402</v>
      </c>
      <c r="DW4" s="13">
        <v>0.11441059486883801</v>
      </c>
      <c r="DX4" s="13">
        <v>9.3325711205708206E-2</v>
      </c>
      <c r="DY4" s="13">
        <v>6.5212532988202399E-2</v>
      </c>
      <c r="DZ4" s="13">
        <v>6.8726680265390597E-2</v>
      </c>
      <c r="EA4" s="13">
        <v>3.7099354770696501E-2</v>
      </c>
      <c r="EB4" s="13">
        <v>1.9528618384755302E-2</v>
      </c>
      <c r="EC4" s="13">
        <v>0.47636776441922601</v>
      </c>
      <c r="ED4" s="13">
        <v>0.35688675699482603</v>
      </c>
      <c r="EE4" s="13">
        <v>0.262004780510744</v>
      </c>
      <c r="EF4" s="13">
        <v>9.6839858482896501E-2</v>
      </c>
      <c r="EG4" s="13">
        <v>6.8726680265390597E-2</v>
      </c>
      <c r="EH4" s="13">
        <v>0.163608656749473</v>
      </c>
      <c r="EI4" s="13">
        <v>4.4127649325073001E-2</v>
      </c>
      <c r="EJ4" s="20">
        <v>364.44320698047869</v>
      </c>
      <c r="EK4" s="20">
        <v>720.19219826757376</v>
      </c>
      <c r="EL4" s="20">
        <v>1069.531297819769</v>
      </c>
      <c r="EM4" s="20">
        <v>1341.9516965531288</v>
      </c>
      <c r="EN4" s="20">
        <v>1210.548915987627</v>
      </c>
      <c r="EO4" s="20">
        <v>1383.6159928299965</v>
      </c>
      <c r="EP4" s="20">
        <v>1563.0929614072688</v>
      </c>
      <c r="EQ4" s="20">
        <v>489.43609581108103</v>
      </c>
      <c r="ER4" s="20">
        <v>963.76808419387555</v>
      </c>
      <c r="ES4" s="20">
        <v>1710.52047131003</v>
      </c>
      <c r="ET4" s="20">
        <v>1854.743035345341</v>
      </c>
      <c r="EU4" s="20">
        <v>1726.5452006472888</v>
      </c>
      <c r="EV4" s="20">
        <v>1784.2342262614122</v>
      </c>
      <c r="EW4" s="20">
        <v>287.52450616164776</v>
      </c>
      <c r="EX4" s="20">
        <v>3153.742744560564</v>
      </c>
      <c r="EY4" s="20">
        <v>3232.4027287014842</v>
      </c>
      <c r="EZ4" s="20">
        <v>2926.4441428098462</v>
      </c>
      <c r="FA4" s="20" t="s">
        <v>59</v>
      </c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</row>
    <row r="5" spans="1:207" s="21" customFormat="1" x14ac:dyDescent="0.25">
      <c r="A5" s="18">
        <v>3</v>
      </c>
      <c r="B5" s="25">
        <v>189.4</v>
      </c>
      <c r="C5" s="24">
        <v>97</v>
      </c>
      <c r="D5" s="24">
        <v>97.6</v>
      </c>
      <c r="E5" s="25">
        <v>96.9</v>
      </c>
      <c r="F5" s="34">
        <v>27.040317391997625</v>
      </c>
      <c r="G5" s="34">
        <v>27.322863301699279</v>
      </c>
      <c r="H5" s="34">
        <v>27.126900142773163</v>
      </c>
      <c r="I5" s="20">
        <v>100.35</v>
      </c>
      <c r="J5" s="20">
        <v>100.6</v>
      </c>
      <c r="K5" s="20">
        <f>AVERAGE(100.5,100.6)</f>
        <v>100.55</v>
      </c>
      <c r="L5" s="20">
        <v>108.6</v>
      </c>
      <c r="M5" s="20">
        <v>109.1</v>
      </c>
      <c r="N5" s="20">
        <f>AVERAGE(109.1,110.1)</f>
        <v>109.6</v>
      </c>
      <c r="O5" s="19">
        <v>36.943665564060211</v>
      </c>
      <c r="P5" s="19">
        <v>37.587853708574848</v>
      </c>
      <c r="Q5" s="19">
        <v>36.044445962616891</v>
      </c>
      <c r="R5" s="20">
        <v>237.5</v>
      </c>
      <c r="S5" s="20">
        <v>250</v>
      </c>
      <c r="T5" s="20">
        <v>250</v>
      </c>
      <c r="U5" s="19">
        <v>0.39817522596058108</v>
      </c>
      <c r="V5" s="19">
        <v>0.57738630204754227</v>
      </c>
      <c r="W5" s="19">
        <v>0.4045319527468898</v>
      </c>
      <c r="X5" s="19" t="s">
        <v>59</v>
      </c>
      <c r="Y5" s="19" t="s">
        <v>59</v>
      </c>
      <c r="Z5" s="19" t="s">
        <v>59</v>
      </c>
      <c r="AA5" s="19" t="s">
        <v>59</v>
      </c>
      <c r="AB5" s="19" t="s">
        <v>59</v>
      </c>
      <c r="AC5" s="19" t="s">
        <v>59</v>
      </c>
      <c r="AD5" s="19" t="s">
        <v>59</v>
      </c>
      <c r="AE5" s="19" t="s">
        <v>59</v>
      </c>
      <c r="AF5" s="19" t="s">
        <v>59</v>
      </c>
      <c r="AG5" s="19" t="s">
        <v>59</v>
      </c>
      <c r="AH5" s="19" t="s">
        <v>59</v>
      </c>
      <c r="AI5" s="19" t="s">
        <v>59</v>
      </c>
      <c r="AJ5" s="19" t="s">
        <v>59</v>
      </c>
      <c r="AK5" s="19" t="s">
        <v>59</v>
      </c>
      <c r="AL5" s="19" t="s">
        <v>59</v>
      </c>
      <c r="AM5" s="19" t="s">
        <v>59</v>
      </c>
      <c r="AN5" s="19" t="s">
        <v>59</v>
      </c>
      <c r="AO5" s="19" t="s">
        <v>59</v>
      </c>
      <c r="AP5" s="19" t="s">
        <v>59</v>
      </c>
      <c r="AQ5" s="19" t="s">
        <v>59</v>
      </c>
      <c r="AR5" s="19" t="s">
        <v>59</v>
      </c>
      <c r="AS5" s="19" t="s">
        <v>59</v>
      </c>
      <c r="AT5" s="19" t="s">
        <v>59</v>
      </c>
      <c r="AU5" s="19" t="s">
        <v>59</v>
      </c>
      <c r="AV5" s="19" t="s">
        <v>59</v>
      </c>
      <c r="AW5" s="19" t="s">
        <v>59</v>
      </c>
      <c r="AX5" s="19" t="s">
        <v>59</v>
      </c>
      <c r="AY5" s="19" t="s">
        <v>59</v>
      </c>
      <c r="AZ5" s="19" t="s">
        <v>59</v>
      </c>
      <c r="BA5" s="19" t="s">
        <v>59</v>
      </c>
      <c r="BB5" s="19" t="s">
        <v>59</v>
      </c>
      <c r="BC5" s="19" t="s">
        <v>59</v>
      </c>
      <c r="BD5" s="19" t="s">
        <v>59</v>
      </c>
      <c r="BE5" s="19" t="s">
        <v>59</v>
      </c>
      <c r="BF5" s="19" t="s">
        <v>59</v>
      </c>
      <c r="BG5" s="19" t="s">
        <v>59</v>
      </c>
      <c r="BH5" s="19" t="s">
        <v>59</v>
      </c>
      <c r="BI5" s="19" t="s">
        <v>59</v>
      </c>
      <c r="BJ5" s="19" t="s">
        <v>59</v>
      </c>
      <c r="BK5" s="19" t="s">
        <v>59</v>
      </c>
      <c r="BL5" s="19" t="s">
        <v>59</v>
      </c>
      <c r="BM5" s="19" t="s">
        <v>59</v>
      </c>
      <c r="BN5" s="19" t="s">
        <v>59</v>
      </c>
      <c r="BO5" s="19" t="s">
        <v>59</v>
      </c>
      <c r="BP5" s="19" t="s">
        <v>59</v>
      </c>
      <c r="BQ5" s="19" t="s">
        <v>59</v>
      </c>
      <c r="BR5" s="19" t="s">
        <v>59</v>
      </c>
      <c r="BS5" s="19" t="s">
        <v>59</v>
      </c>
      <c r="BT5" s="19" t="s">
        <v>59</v>
      </c>
      <c r="BU5" s="19" t="s">
        <v>59</v>
      </c>
      <c r="BV5" s="19" t="s">
        <v>59</v>
      </c>
      <c r="BW5" s="19">
        <v>0.84</v>
      </c>
      <c r="BX5" s="19">
        <v>0.98099999999999998</v>
      </c>
      <c r="BY5" s="33">
        <v>0.77</v>
      </c>
      <c r="BZ5" s="33">
        <v>0.56999999999999995</v>
      </c>
      <c r="CA5" s="19">
        <v>3.02</v>
      </c>
      <c r="CB5" s="19">
        <v>1.77</v>
      </c>
      <c r="CC5" s="20">
        <v>20</v>
      </c>
      <c r="CD5" s="20">
        <v>39</v>
      </c>
      <c r="CE5" s="19">
        <v>5.0299999999999994</v>
      </c>
      <c r="CF5" s="19">
        <v>6.75</v>
      </c>
      <c r="CG5" s="19">
        <v>7.4700000000000006</v>
      </c>
      <c r="CH5" s="19">
        <v>7.7650000000000006</v>
      </c>
      <c r="CI5" s="19">
        <v>7.1449999999999996</v>
      </c>
      <c r="CJ5" s="19">
        <v>5.7850000000000001</v>
      </c>
      <c r="CK5" s="19">
        <v>5.14</v>
      </c>
      <c r="CL5" s="19">
        <v>4.8499999999999996</v>
      </c>
      <c r="CM5" s="19">
        <v>5.66</v>
      </c>
      <c r="CN5" s="13">
        <v>6.05</v>
      </c>
      <c r="CO5" s="13">
        <v>7.82</v>
      </c>
      <c r="CP5" s="13">
        <v>10.004999999999999</v>
      </c>
      <c r="CQ5" s="13">
        <v>10.210000000000001</v>
      </c>
      <c r="CR5" s="13">
        <v>10.275</v>
      </c>
      <c r="CS5" s="13">
        <v>9.11</v>
      </c>
      <c r="CT5" s="13">
        <v>9.26</v>
      </c>
      <c r="CU5" s="13">
        <v>8.76</v>
      </c>
      <c r="CV5" s="13">
        <v>5.65</v>
      </c>
      <c r="CW5" s="14">
        <f>AVERAGE(352.37813032297,458.69054)</f>
        <v>405.53433516148499</v>
      </c>
      <c r="CX5" s="14">
        <v>838.00748036051891</v>
      </c>
      <c r="CY5" s="14">
        <v>1134.0948874016049</v>
      </c>
      <c r="CZ5" s="14">
        <v>1187.673338863</v>
      </c>
      <c r="DA5" s="14">
        <v>956.38904327389309</v>
      </c>
      <c r="DB5" s="14">
        <v>560.2870585502385</v>
      </c>
      <c r="DC5" s="14">
        <v>721.26308074217548</v>
      </c>
      <c r="DD5" s="14">
        <v>455.72545964872904</v>
      </c>
      <c r="DE5" s="14">
        <v>413.18314346987052</v>
      </c>
      <c r="DF5" s="14">
        <f>AVERAGE(185.53529107469,245.43085)</f>
        <v>215.48307053734499</v>
      </c>
      <c r="DG5" s="14">
        <v>634.91959781529795</v>
      </c>
      <c r="DH5" s="14">
        <v>1244.5785470553651</v>
      </c>
      <c r="DI5" s="14">
        <v>1424.085224365635</v>
      </c>
      <c r="DJ5" s="14">
        <v>1406.3484704647699</v>
      </c>
      <c r="DK5" s="14">
        <v>1418.1724041597549</v>
      </c>
      <c r="DL5" s="14">
        <v>1521.006471832595</v>
      </c>
      <c r="DM5" s="14">
        <v>1470.05850190711</v>
      </c>
      <c r="DN5" s="14">
        <v>1521.7098108295249</v>
      </c>
      <c r="DO5" s="13">
        <v>6.28125</v>
      </c>
      <c r="DP5" s="13">
        <v>8.9112500000000008</v>
      </c>
      <c r="DQ5" s="13">
        <v>782.84988601947964</v>
      </c>
      <c r="DR5" s="13">
        <v>1248.4707072854953</v>
      </c>
      <c r="DS5" s="13">
        <v>383.91137604232199</v>
      </c>
      <c r="DT5" s="13">
        <v>264.79183983813527</v>
      </c>
      <c r="DU5" s="19">
        <v>-119.11953620418672</v>
      </c>
      <c r="DV5" s="13">
        <v>0.11439114391143849</v>
      </c>
      <c r="DW5" s="13">
        <v>0.11439114391143901</v>
      </c>
      <c r="DX5" s="13">
        <v>8.3661066873826406E-2</v>
      </c>
      <c r="DY5" s="13">
        <v>6.8296028355020161E-2</v>
      </c>
      <c r="DZ5" s="13">
        <v>5.7321000841587103E-2</v>
      </c>
      <c r="EA5" s="13">
        <v>3.5370945814721097E-2</v>
      </c>
      <c r="EB5" s="13">
        <v>2.22009127986014E-2</v>
      </c>
      <c r="EC5" s="13">
        <v>0.24389646856994851</v>
      </c>
      <c r="ED5" s="13">
        <v>0.3997418592606975</v>
      </c>
      <c r="EE5" s="13">
        <v>0.36242676571502552</v>
      </c>
      <c r="EF5" s="13">
        <v>0.27682155111024753</v>
      </c>
      <c r="EG5" s="13">
        <v>0.24170146306726198</v>
      </c>
      <c r="EH5" s="13">
        <v>0.17585129798666399</v>
      </c>
      <c r="EI5" s="13">
        <v>9.2441088884573003E-2</v>
      </c>
      <c r="EJ5" s="20">
        <v>1245.8033205295915</v>
      </c>
      <c r="EK5" s="20">
        <v>2082.2941919343839</v>
      </c>
      <c r="EL5" s="20">
        <v>2793.7921745085741</v>
      </c>
      <c r="EM5" s="20">
        <v>3787.3253934184795</v>
      </c>
      <c r="EN5" s="20">
        <v>3659.1275587204209</v>
      </c>
      <c r="EO5" s="20">
        <v>2620.7250976662049</v>
      </c>
      <c r="EP5" s="20">
        <v>2031.0150580551638</v>
      </c>
      <c r="EQ5" s="20">
        <v>928.51367965191105</v>
      </c>
      <c r="ER5" s="20">
        <v>2045.4373144586943</v>
      </c>
      <c r="ES5" s="20">
        <v>3657.5250857866968</v>
      </c>
      <c r="ET5" s="20">
        <v>3809.7600144906287</v>
      </c>
      <c r="EU5" s="20">
        <v>3912.3182822490894</v>
      </c>
      <c r="EV5" s="20">
        <v>4713.5547491119059</v>
      </c>
      <c r="EW5" s="20">
        <v>4380.2403788969605</v>
      </c>
      <c r="EX5" s="20">
        <v>2803.8475199019967</v>
      </c>
      <c r="EY5" s="20">
        <v>2785.8480913361959</v>
      </c>
      <c r="EZ5" s="20">
        <v>3676.5473538786841</v>
      </c>
      <c r="FA5" s="20">
        <v>3388.9874262943149</v>
      </c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</row>
    <row r="6" spans="1:207" s="21" customFormat="1" x14ac:dyDescent="0.25">
      <c r="A6" s="18">
        <v>4</v>
      </c>
      <c r="B6" s="25">
        <v>178.2</v>
      </c>
      <c r="C6" s="25">
        <v>87.9</v>
      </c>
      <c r="D6" s="24">
        <v>88.5</v>
      </c>
      <c r="E6" s="25">
        <v>87.5</v>
      </c>
      <c r="F6" s="34">
        <v>27.680471002580997</v>
      </c>
      <c r="G6" s="34">
        <v>27.869416197137856</v>
      </c>
      <c r="H6" s="34">
        <v>27.554507539543078</v>
      </c>
      <c r="I6" s="20">
        <v>101.1</v>
      </c>
      <c r="J6" s="20">
        <f>AVERAGE(100.8,100.9)</f>
        <v>100.85</v>
      </c>
      <c r="K6" s="20">
        <f>AVERAGE(101.3,101.4)</f>
        <v>101.35</v>
      </c>
      <c r="L6" s="20">
        <v>110.9</v>
      </c>
      <c r="M6" s="20">
        <f>AVERAGE(110.8,111)</f>
        <v>110.9</v>
      </c>
      <c r="N6" s="20">
        <f>AVERAGE(111.1,110.9)</f>
        <v>111</v>
      </c>
      <c r="O6" s="19">
        <v>32.458863212948756</v>
      </c>
      <c r="P6" s="19">
        <v>32.46304055918818</v>
      </c>
      <c r="Q6" s="19">
        <v>31.901447659447079</v>
      </c>
      <c r="R6" s="20">
        <v>183.47222222222223</v>
      </c>
      <c r="S6" s="20">
        <f>175+((66/180)*25)</f>
        <v>184.16666666666666</v>
      </c>
      <c r="T6" s="20">
        <f>175+((61/180)*25)</f>
        <v>183.47222222222223</v>
      </c>
      <c r="U6" s="19">
        <v>0.12107978723329671</v>
      </c>
      <c r="V6" s="19">
        <v>0.16207063759650508</v>
      </c>
      <c r="W6" s="19">
        <v>0.27836662454197292</v>
      </c>
      <c r="X6" s="19" t="s">
        <v>59</v>
      </c>
      <c r="Y6" s="19" t="s">
        <v>59</v>
      </c>
      <c r="Z6" s="19" t="s">
        <v>59</v>
      </c>
      <c r="AA6" s="19" t="s">
        <v>59</v>
      </c>
      <c r="AB6" s="19" t="s">
        <v>59</v>
      </c>
      <c r="AC6" s="19" t="s">
        <v>59</v>
      </c>
      <c r="AD6" s="19" t="s">
        <v>59</v>
      </c>
      <c r="AE6" s="19" t="s">
        <v>59</v>
      </c>
      <c r="AF6" s="19" t="s">
        <v>59</v>
      </c>
      <c r="AG6" s="19" t="s">
        <v>59</v>
      </c>
      <c r="AH6" s="19" t="s">
        <v>59</v>
      </c>
      <c r="AI6" s="19" t="s">
        <v>59</v>
      </c>
      <c r="AJ6" s="19" t="s">
        <v>59</v>
      </c>
      <c r="AK6" s="19" t="s">
        <v>59</v>
      </c>
      <c r="AL6" s="19" t="s">
        <v>59</v>
      </c>
      <c r="AM6" s="19" t="s">
        <v>59</v>
      </c>
      <c r="AN6" s="19" t="s">
        <v>59</v>
      </c>
      <c r="AO6" s="19" t="s">
        <v>59</v>
      </c>
      <c r="AP6" s="19" t="s">
        <v>59</v>
      </c>
      <c r="AQ6" s="19" t="s">
        <v>59</v>
      </c>
      <c r="AR6" s="19" t="s">
        <v>59</v>
      </c>
      <c r="AS6" s="19" t="s">
        <v>59</v>
      </c>
      <c r="AT6" s="19" t="s">
        <v>59</v>
      </c>
      <c r="AU6" s="19" t="s">
        <v>59</v>
      </c>
      <c r="AV6" s="19" t="s">
        <v>59</v>
      </c>
      <c r="AW6" s="19" t="s">
        <v>59</v>
      </c>
      <c r="AX6" s="19" t="s">
        <v>59</v>
      </c>
      <c r="AY6" s="19" t="s">
        <v>59</v>
      </c>
      <c r="AZ6" s="19" t="s">
        <v>59</v>
      </c>
      <c r="BA6" s="19" t="s">
        <v>59</v>
      </c>
      <c r="BB6" s="19" t="s">
        <v>59</v>
      </c>
      <c r="BC6" s="19" t="s">
        <v>59</v>
      </c>
      <c r="BD6" s="19" t="s">
        <v>59</v>
      </c>
      <c r="BE6" s="19" t="s">
        <v>59</v>
      </c>
      <c r="BF6" s="19" t="s">
        <v>59</v>
      </c>
      <c r="BG6" s="19" t="s">
        <v>59</v>
      </c>
      <c r="BH6" s="19" t="s">
        <v>59</v>
      </c>
      <c r="BI6" s="19" t="s">
        <v>59</v>
      </c>
      <c r="BJ6" s="19" t="s">
        <v>59</v>
      </c>
      <c r="BK6" s="19" t="s">
        <v>59</v>
      </c>
      <c r="BL6" s="19" t="s">
        <v>59</v>
      </c>
      <c r="BM6" s="19" t="s">
        <v>59</v>
      </c>
      <c r="BN6" s="19" t="s">
        <v>59</v>
      </c>
      <c r="BO6" s="19" t="s">
        <v>59</v>
      </c>
      <c r="BP6" s="19" t="s">
        <v>59</v>
      </c>
      <c r="BQ6" s="19" t="s">
        <v>59</v>
      </c>
      <c r="BR6" s="19" t="s">
        <v>59</v>
      </c>
      <c r="BS6" s="19" t="s">
        <v>59</v>
      </c>
      <c r="BT6" s="19" t="s">
        <v>59</v>
      </c>
      <c r="BU6" s="19" t="s">
        <v>59</v>
      </c>
      <c r="BV6" s="19" t="s">
        <v>59</v>
      </c>
      <c r="BW6" s="19">
        <v>3.0470000000000002</v>
      </c>
      <c r="BX6" s="19">
        <v>2.677</v>
      </c>
      <c r="BY6" s="33">
        <v>0.97</v>
      </c>
      <c r="BZ6" s="33">
        <v>0.62</v>
      </c>
      <c r="CA6" s="19">
        <v>2.7</v>
      </c>
      <c r="CB6" s="19">
        <v>2.14</v>
      </c>
      <c r="CC6" s="20">
        <v>73</v>
      </c>
      <c r="CD6" s="20">
        <v>63</v>
      </c>
      <c r="CE6" s="19">
        <v>6.0150000000000006</v>
      </c>
      <c r="CF6" s="19">
        <v>8.0250000000000004</v>
      </c>
      <c r="CG6" s="19">
        <v>10.64</v>
      </c>
      <c r="CH6" s="19">
        <v>11.45</v>
      </c>
      <c r="CI6" s="19">
        <v>10.425000000000001</v>
      </c>
      <c r="CJ6" s="19">
        <v>9.7899999999999991</v>
      </c>
      <c r="CK6" s="19">
        <v>9.3650000000000002</v>
      </c>
      <c r="CL6" s="19">
        <v>8.4550000000000001</v>
      </c>
      <c r="CM6" s="19">
        <v>7.835</v>
      </c>
      <c r="CN6" s="13">
        <v>6.3049999999999997</v>
      </c>
      <c r="CO6" s="13">
        <v>6.6999999999999993</v>
      </c>
      <c r="CP6" s="13">
        <v>10.760000000000002</v>
      </c>
      <c r="CQ6" s="13">
        <v>10.760000000000002</v>
      </c>
      <c r="CR6" s="13">
        <v>10.295</v>
      </c>
      <c r="CS6" s="13">
        <v>9.5100000000000016</v>
      </c>
      <c r="CT6" s="13">
        <v>9.0300000000000011</v>
      </c>
      <c r="CU6" s="13">
        <v>7.6450000000000005</v>
      </c>
      <c r="CV6" s="13">
        <v>7.335</v>
      </c>
      <c r="CW6" s="14">
        <v>43.75455586202515</v>
      </c>
      <c r="CX6" s="14">
        <v>147.32678544259051</v>
      </c>
      <c r="CY6" s="14">
        <v>328.21237380480045</v>
      </c>
      <c r="CZ6" s="14">
        <v>368.85310385730548</v>
      </c>
      <c r="DA6" s="14">
        <v>339.26567259625199</v>
      </c>
      <c r="DB6" s="14">
        <v>391.9024545028405</v>
      </c>
      <c r="DC6" s="14">
        <v>430.81814587235351</v>
      </c>
      <c r="DD6" s="14">
        <v>359.65907633204449</v>
      </c>
      <c r="DE6" s="14">
        <v>320.62821436346201</v>
      </c>
      <c r="DF6" s="14">
        <v>51.397891384616102</v>
      </c>
      <c r="DG6" s="14">
        <v>110.6469543206635</v>
      </c>
      <c r="DH6" s="14">
        <v>396.85015290007448</v>
      </c>
      <c r="DI6" s="14">
        <v>403.3436984478825</v>
      </c>
      <c r="DJ6" s="14">
        <f>AVERAGE(DI6,DK6)</f>
        <v>383.83059913168222</v>
      </c>
      <c r="DK6" s="14">
        <v>364.31749981548199</v>
      </c>
      <c r="DL6" s="14">
        <v>344.12118459141504</v>
      </c>
      <c r="DM6" s="14">
        <v>237.06985766150348</v>
      </c>
      <c r="DN6" s="14">
        <v>193.25807251004301</v>
      </c>
      <c r="DO6" s="13">
        <v>9.3843750000000004</v>
      </c>
      <c r="DP6" s="13">
        <v>8.94</v>
      </c>
      <c r="DQ6" s="13">
        <v>318.52862469011632</v>
      </c>
      <c r="DR6" s="13">
        <v>295.31349110200409</v>
      </c>
      <c r="DS6" s="13">
        <v>344.03208600750474</v>
      </c>
      <c r="DT6" s="13">
        <v>348.49202944751005</v>
      </c>
      <c r="DU6" s="19">
        <v>4.4599434400053042</v>
      </c>
      <c r="DV6" s="13">
        <v>0.50350334502468297</v>
      </c>
      <c r="DW6" s="13">
        <v>0.49909879189399997</v>
      </c>
      <c r="DX6" s="13">
        <v>0.40219862301896298</v>
      </c>
      <c r="DY6" s="13">
        <v>0.221611944660939</v>
      </c>
      <c r="DZ6" s="13">
        <v>0.14673454143931999</v>
      </c>
      <c r="EA6" s="13">
        <v>0.10268901013248501</v>
      </c>
      <c r="EB6" s="13">
        <v>6.0845755390991546E-2</v>
      </c>
      <c r="EC6" s="13">
        <v>0.5277283872434424</v>
      </c>
      <c r="ED6" s="13">
        <v>0.34273715575473551</v>
      </c>
      <c r="EE6" s="13">
        <f>AVERAGE(ED6,EF6)</f>
        <v>0.25464609314106551</v>
      </c>
      <c r="EF6" s="13">
        <v>0.16655503052739551</v>
      </c>
      <c r="EG6" s="13">
        <v>0.137925435177953</v>
      </c>
      <c r="EH6" s="13">
        <v>5.6441202260308049E-2</v>
      </c>
      <c r="EI6" s="13">
        <v>6.3048031956333295E-2</v>
      </c>
      <c r="EJ6" s="20">
        <v>444.18638557123319</v>
      </c>
      <c r="EK6" s="20">
        <v>743.44731538548626</v>
      </c>
      <c r="EL6" s="20">
        <v>1405.8115067077001</v>
      </c>
      <c r="EM6" s="20">
        <v>3504.6281611383347</v>
      </c>
      <c r="EN6" s="20">
        <v>2163.9391955704787</v>
      </c>
      <c r="EO6" s="20">
        <v>2058.2003337027754</v>
      </c>
      <c r="EP6" s="20">
        <v>1952.4614718350724</v>
      </c>
      <c r="EQ6" s="20">
        <v>444.18638557123319</v>
      </c>
      <c r="ER6" s="20">
        <v>635.71338065235796</v>
      </c>
      <c r="ES6" s="20">
        <v>1162.4126171254431</v>
      </c>
      <c r="ET6" s="20">
        <v>1689.1118535985288</v>
      </c>
      <c r="EU6" s="20">
        <v>2399.3577936910228</v>
      </c>
      <c r="EV6" s="20">
        <v>2562.9537686561489</v>
      </c>
      <c r="EW6" s="20">
        <v>1377.8804865917048</v>
      </c>
      <c r="EX6" s="20">
        <v>2529.4854140337743</v>
      </c>
      <c r="EY6" s="20">
        <v>2144.6492797592873</v>
      </c>
      <c r="EZ6" s="20">
        <v>3037.614649553062</v>
      </c>
      <c r="FA6" s="20">
        <v>3032.1947128796915</v>
      </c>
      <c r="FB6" s="11">
        <v>0.73373651520104599</v>
      </c>
      <c r="FC6" s="11">
        <v>0.81477607061131085</v>
      </c>
      <c r="FD6" s="11">
        <v>0.34893537015276144</v>
      </c>
      <c r="FE6" s="11">
        <v>0.61051809424629</v>
      </c>
      <c r="FF6" s="11">
        <v>0.80933818804883273</v>
      </c>
      <c r="FG6" s="11">
        <v>0.33760854489537478</v>
      </c>
      <c r="FH6" s="11">
        <v>0.81565217391304334</v>
      </c>
      <c r="FI6" s="11">
        <v>0.67460438804372758</v>
      </c>
      <c r="FJ6" s="30">
        <v>1.1843890053760768</v>
      </c>
      <c r="FK6" s="30">
        <v>0.40713149608855126</v>
      </c>
      <c r="FL6" s="30">
        <v>0.54</v>
      </c>
      <c r="FM6" s="30">
        <v>0.29817292944785279</v>
      </c>
      <c r="FN6" s="30">
        <v>0.92771084337349397</v>
      </c>
      <c r="FO6" s="30">
        <v>0.32140718369054261</v>
      </c>
      <c r="FP6" s="30">
        <v>0.58736414774899415</v>
      </c>
      <c r="FQ6" s="30">
        <v>0.53067484662576681</v>
      </c>
      <c r="FR6" s="30">
        <v>0.68947368421052635</v>
      </c>
      <c r="FS6" s="50">
        <v>33.599151658784628</v>
      </c>
      <c r="FT6" s="50">
        <v>21.009255601934385</v>
      </c>
      <c r="FU6" s="38">
        <v>1664.5974329265548</v>
      </c>
      <c r="FV6" s="38">
        <v>23246.649727909662</v>
      </c>
      <c r="FW6" s="38">
        <v>1163.2296858487864</v>
      </c>
      <c r="FX6" s="38">
        <v>11460.75755093802</v>
      </c>
      <c r="FY6" s="38">
        <v>10931.813082429473</v>
      </c>
      <c r="FZ6" s="38">
        <v>18981.972748810502</v>
      </c>
      <c r="GA6" s="20">
        <v>91.174180121844699</v>
      </c>
      <c r="GB6" s="20">
        <v>121.36015611863679</v>
      </c>
      <c r="GC6" s="20">
        <v>111.5618581962778</v>
      </c>
      <c r="GD6" s="20">
        <v>10313.098391553251</v>
      </c>
      <c r="GE6" s="20">
        <v>68.790851828944355</v>
      </c>
      <c r="GF6" s="20">
        <v>464.13779448997667</v>
      </c>
      <c r="GG6" s="20">
        <v>44.368778538301939</v>
      </c>
      <c r="GH6" s="20">
        <v>1054.4622712650407</v>
      </c>
      <c r="GI6" s="20">
        <v>79717.974510975284</v>
      </c>
      <c r="GJ6" s="20">
        <v>946.17459692535942</v>
      </c>
      <c r="GK6" s="20">
        <v>17039.037214085442</v>
      </c>
      <c r="GL6" s="20">
        <v>719.10225870592035</v>
      </c>
      <c r="GM6" s="20">
        <v>9954.7746356318439</v>
      </c>
      <c r="GN6" s="20">
        <v>6807.6121965136645</v>
      </c>
      <c r="GO6" s="20">
        <v>19250.934490248812</v>
      </c>
      <c r="GP6" s="20">
        <v>63.519003275873914</v>
      </c>
      <c r="GQ6" s="20">
        <v>125.90054550661748</v>
      </c>
      <c r="GR6" s="20">
        <v>144.08388402284254</v>
      </c>
      <c r="GS6" s="20">
        <v>10405.601029406011</v>
      </c>
      <c r="GT6" s="20">
        <v>64.581914225032392</v>
      </c>
      <c r="GU6" s="20">
        <v>549.57298338181147</v>
      </c>
      <c r="GV6" s="20">
        <v>54.11286375675288</v>
      </c>
      <c r="GW6" s="20">
        <v>1258.4874768262432</v>
      </c>
      <c r="GX6" s="20">
        <v>67383.495092512225</v>
      </c>
      <c r="GY6" s="10">
        <v>3.7107240099999999</v>
      </c>
    </row>
    <row r="7" spans="1:207" s="21" customFormat="1" x14ac:dyDescent="0.25">
      <c r="A7" s="18">
        <v>5</v>
      </c>
      <c r="B7" s="24">
        <v>174</v>
      </c>
      <c r="C7" s="25">
        <v>92.2</v>
      </c>
      <c r="D7" s="24">
        <v>94.2</v>
      </c>
      <c r="E7" s="25">
        <v>92.5</v>
      </c>
      <c r="F7" s="34">
        <v>30.453164222486457</v>
      </c>
      <c r="G7" s="34">
        <v>31.042350729791824</v>
      </c>
      <c r="H7" s="34">
        <v>30.552252609327521</v>
      </c>
      <c r="I7" s="20">
        <v>101.3</v>
      </c>
      <c r="J7" s="20">
        <f>AVERAGE(102.3,102.1)</f>
        <v>102.19999999999999</v>
      </c>
      <c r="K7" s="20">
        <f>AVERAGE(101.6,101.8)</f>
        <v>101.69999999999999</v>
      </c>
      <c r="L7" s="20">
        <v>105.2</v>
      </c>
      <c r="M7" s="20">
        <f>AVERAGE(105.1,105.6)</f>
        <v>105.35</v>
      </c>
      <c r="N7" s="20">
        <f>AVERAGE(105.1,105.6)</f>
        <v>105.35</v>
      </c>
      <c r="O7" s="19">
        <v>35.848427172060369</v>
      </c>
      <c r="P7" s="19">
        <v>34.211921028468922</v>
      </c>
      <c r="Q7" s="19">
        <v>31.427711327870686</v>
      </c>
      <c r="R7" s="20">
        <v>212.63888888888889</v>
      </c>
      <c r="S7" s="20">
        <f>200+((9/180)*25)</f>
        <v>201.25</v>
      </c>
      <c r="T7" s="20">
        <f>175+((96/180)*25)</f>
        <v>188.33333333333334</v>
      </c>
      <c r="U7" s="19">
        <v>0.36931633813240983</v>
      </c>
      <c r="V7" s="19">
        <v>0.23680927311074385</v>
      </c>
      <c r="W7" s="19">
        <v>0.23736121898889562</v>
      </c>
      <c r="X7" s="19" t="s">
        <v>59</v>
      </c>
      <c r="Y7" s="19" t="s">
        <v>59</v>
      </c>
      <c r="Z7" s="19" t="s">
        <v>59</v>
      </c>
      <c r="AA7" s="19" t="s">
        <v>59</v>
      </c>
      <c r="AB7" s="19" t="s">
        <v>59</v>
      </c>
      <c r="AC7" s="19" t="s">
        <v>59</v>
      </c>
      <c r="AD7" s="19" t="s">
        <v>59</v>
      </c>
      <c r="AE7" s="19" t="s">
        <v>59</v>
      </c>
      <c r="AF7" s="19" t="s">
        <v>59</v>
      </c>
      <c r="AG7" s="19" t="s">
        <v>59</v>
      </c>
      <c r="AH7" s="19" t="s">
        <v>59</v>
      </c>
      <c r="AI7" s="19" t="s">
        <v>59</v>
      </c>
      <c r="AJ7" s="19" t="s">
        <v>59</v>
      </c>
      <c r="AK7" s="19" t="s">
        <v>59</v>
      </c>
      <c r="AL7" s="19" t="s">
        <v>59</v>
      </c>
      <c r="AM7" s="19" t="s">
        <v>59</v>
      </c>
      <c r="AN7" s="19" t="s">
        <v>59</v>
      </c>
      <c r="AO7" s="19" t="s">
        <v>59</v>
      </c>
      <c r="AP7" s="19" t="s">
        <v>59</v>
      </c>
      <c r="AQ7" s="19" t="s">
        <v>59</v>
      </c>
      <c r="AR7" s="19" t="s">
        <v>59</v>
      </c>
      <c r="AS7" s="19" t="s">
        <v>59</v>
      </c>
      <c r="AT7" s="19" t="s">
        <v>59</v>
      </c>
      <c r="AU7" s="19" t="s">
        <v>59</v>
      </c>
      <c r="AV7" s="19" t="s">
        <v>59</v>
      </c>
      <c r="AW7" s="19" t="s">
        <v>59</v>
      </c>
      <c r="AX7" s="19" t="s">
        <v>59</v>
      </c>
      <c r="AY7" s="19" t="s">
        <v>59</v>
      </c>
      <c r="AZ7" s="19" t="s">
        <v>59</v>
      </c>
      <c r="BA7" s="19" t="s">
        <v>59</v>
      </c>
      <c r="BB7" s="19" t="s">
        <v>59</v>
      </c>
      <c r="BC7" s="19" t="s">
        <v>59</v>
      </c>
      <c r="BD7" s="19" t="s">
        <v>59</v>
      </c>
      <c r="BE7" s="19" t="s">
        <v>59</v>
      </c>
      <c r="BF7" s="19" t="s">
        <v>59</v>
      </c>
      <c r="BG7" s="19" t="s">
        <v>59</v>
      </c>
      <c r="BH7" s="19" t="s">
        <v>59</v>
      </c>
      <c r="BI7" s="19" t="s">
        <v>59</v>
      </c>
      <c r="BJ7" s="19" t="s">
        <v>59</v>
      </c>
      <c r="BK7" s="19" t="s">
        <v>59</v>
      </c>
      <c r="BL7" s="19" t="s">
        <v>59</v>
      </c>
      <c r="BM7" s="19" t="s">
        <v>59</v>
      </c>
      <c r="BN7" s="19" t="s">
        <v>59</v>
      </c>
      <c r="BO7" s="19" t="s">
        <v>59</v>
      </c>
      <c r="BP7" s="19" t="s">
        <v>59</v>
      </c>
      <c r="BQ7" s="19" t="s">
        <v>59</v>
      </c>
      <c r="BR7" s="19" t="s">
        <v>59</v>
      </c>
      <c r="BS7" s="19" t="s">
        <v>59</v>
      </c>
      <c r="BT7" s="19" t="s">
        <v>59</v>
      </c>
      <c r="BU7" s="19" t="s">
        <v>59</v>
      </c>
      <c r="BV7" s="19" t="s">
        <v>59</v>
      </c>
      <c r="BW7" s="19">
        <v>0.998</v>
      </c>
      <c r="BX7" s="19">
        <v>1.873</v>
      </c>
      <c r="BY7" s="33">
        <v>0.67</v>
      </c>
      <c r="BZ7" s="33">
        <v>0.79</v>
      </c>
      <c r="CA7" s="19">
        <v>2.91</v>
      </c>
      <c r="CB7" s="19">
        <v>3.66</v>
      </c>
      <c r="CC7" s="20">
        <v>32</v>
      </c>
      <c r="CD7" s="20">
        <v>37</v>
      </c>
      <c r="CE7" s="19">
        <v>5.45</v>
      </c>
      <c r="CF7" s="19">
        <v>6.5549999999999997</v>
      </c>
      <c r="CG7" s="19">
        <v>10.81</v>
      </c>
      <c r="CH7" s="19">
        <v>9.56</v>
      </c>
      <c r="CI7" s="19">
        <v>8.3999999999999986</v>
      </c>
      <c r="CJ7" s="19">
        <v>6.375</v>
      </c>
      <c r="CK7" s="19">
        <v>5.6150000000000002</v>
      </c>
      <c r="CL7" s="19">
        <v>5.6150000000000002</v>
      </c>
      <c r="CM7" s="19">
        <v>4.7300000000000004</v>
      </c>
      <c r="CN7" s="13">
        <v>5.2650000000000006</v>
      </c>
      <c r="CO7" s="13">
        <v>6.9499999999999993</v>
      </c>
      <c r="CP7" s="13">
        <v>10.66</v>
      </c>
      <c r="CQ7" s="13">
        <v>8.6999999999999993</v>
      </c>
      <c r="CR7" s="13">
        <v>8.17</v>
      </c>
      <c r="CS7" s="13">
        <v>6.4399999999999995</v>
      </c>
      <c r="CT7" s="13">
        <v>6.2</v>
      </c>
      <c r="CU7" s="13">
        <v>6.7549999999999999</v>
      </c>
      <c r="CV7" s="13">
        <v>5.7750000000000004</v>
      </c>
      <c r="CW7" s="14">
        <v>46.911846057920002</v>
      </c>
      <c r="CX7" s="14">
        <v>194.310878365137</v>
      </c>
      <c r="CY7" s="14">
        <v>476.36586332856899</v>
      </c>
      <c r="CZ7" s="14">
        <v>515.73367229200198</v>
      </c>
      <c r="DA7" s="14">
        <v>592.87959167947406</v>
      </c>
      <c r="DB7" s="14">
        <v>390.91717528666851</v>
      </c>
      <c r="DC7" s="14">
        <v>210.18579290633301</v>
      </c>
      <c r="DD7" s="14">
        <f>AVERAGE(DC7,DE7)</f>
        <v>156.38794933590424</v>
      </c>
      <c r="DE7" s="14">
        <v>102.59010576547544</v>
      </c>
      <c r="DF7" s="14">
        <v>47.505284370217502</v>
      </c>
      <c r="DG7" s="14">
        <v>368.51188352924703</v>
      </c>
      <c r="DH7" s="14">
        <v>457.15732955514648</v>
      </c>
      <c r="DI7" s="14">
        <v>615.38050513691655</v>
      </c>
      <c r="DJ7" s="14">
        <v>578.44030532112743</v>
      </c>
      <c r="DK7" s="14">
        <v>627.1278061683181</v>
      </c>
      <c r="DL7" s="14">
        <v>462.11822940696004</v>
      </c>
      <c r="DM7" s="14">
        <v>424.43126664927547</v>
      </c>
      <c r="DN7" s="14">
        <v>258.29508719355749</v>
      </c>
      <c r="DO7" s="13">
        <v>7.2524999999999995</v>
      </c>
      <c r="DP7" s="13">
        <v>7.4243749999999995</v>
      </c>
      <c r="DQ7" s="13">
        <v>326.44148738822315</v>
      </c>
      <c r="DR7" s="13">
        <v>460.7584389436098</v>
      </c>
      <c r="DS7" s="13">
        <v>418.99494962429009</v>
      </c>
      <c r="DT7" s="13">
        <v>370.76107894835445</v>
      </c>
      <c r="DU7" s="19">
        <v>-48.233870675935634</v>
      </c>
      <c r="DV7" s="13">
        <v>0.270062029098458</v>
      </c>
      <c r="DW7" s="13">
        <v>0.270062029098458</v>
      </c>
      <c r="DX7" s="13">
        <v>0.230421050922306</v>
      </c>
      <c r="DY7" s="13">
        <v>0.16875730709273701</v>
      </c>
      <c r="DZ7" s="13">
        <v>7.6261691348383703E-2</v>
      </c>
      <c r="EA7" s="13">
        <v>0.142329988308636</v>
      </c>
      <c r="EB7" s="13">
        <v>4.5429819433599299E-2</v>
      </c>
      <c r="EC7" s="13">
        <v>0.38898496362691198</v>
      </c>
      <c r="ED7" s="13">
        <v>0.38017585736554499</v>
      </c>
      <c r="EE7" s="13">
        <v>0.28327568849050799</v>
      </c>
      <c r="EF7" s="13">
        <v>0.15994820083137001</v>
      </c>
      <c r="EG7" s="13">
        <v>7.6261691348383703E-2</v>
      </c>
      <c r="EH7" s="13">
        <v>4.1025266302915801E-2</v>
      </c>
      <c r="EI7" s="13">
        <v>1.0193394388131299E-2</v>
      </c>
      <c r="EJ7" s="20">
        <v>436.20609410951926</v>
      </c>
      <c r="EK7" s="20">
        <v>1186.3534915105834</v>
      </c>
      <c r="EL7" s="20">
        <v>1916.5501602573627</v>
      </c>
      <c r="EM7" s="20">
        <v>1908.5698687956487</v>
      </c>
      <c r="EN7" s="20">
        <v>2738.5201808138418</v>
      </c>
      <c r="EO7" s="20">
        <v>2345.490826324457</v>
      </c>
      <c r="EP7" s="20">
        <v>1114.5308683551614</v>
      </c>
      <c r="EQ7" s="20">
        <v>376.3539081466713</v>
      </c>
      <c r="ER7" s="20">
        <v>1629.2596676356773</v>
      </c>
      <c r="ES7" s="20">
        <v>2315.5647333430334</v>
      </c>
      <c r="ET7" s="20">
        <v>2606.8453716955723</v>
      </c>
      <c r="EU7" s="20">
        <v>3372.9533520200707</v>
      </c>
      <c r="EV7" s="20">
        <v>3404.8745178669269</v>
      </c>
      <c r="EW7" s="20">
        <v>2910.0964472406827</v>
      </c>
      <c r="EX7" s="20">
        <v>2865.5845199806167</v>
      </c>
      <c r="EY7" s="20">
        <v>2274.4474176984832</v>
      </c>
      <c r="EZ7" s="20">
        <v>3302.9216180006397</v>
      </c>
      <c r="FA7" s="20">
        <v>3422.325075651223</v>
      </c>
      <c r="FB7" s="11">
        <v>1.1979717813051147</v>
      </c>
      <c r="FC7" s="11">
        <v>1.0001216323055406</v>
      </c>
      <c r="FD7" s="11">
        <v>0.83577917540181712</v>
      </c>
      <c r="FE7" s="11">
        <v>0.97165825847996401</v>
      </c>
      <c r="FF7" s="11">
        <v>0.91582311937120542</v>
      </c>
      <c r="FG7" s="11">
        <v>1.586162370875539</v>
      </c>
      <c r="FH7" s="11">
        <v>0.85727489649058286</v>
      </c>
      <c r="FI7" s="11">
        <v>1.4362214708368555</v>
      </c>
      <c r="FJ7" s="30">
        <v>0.79643390589992535</v>
      </c>
      <c r="FK7" s="30">
        <v>0.88101633393829415</v>
      </c>
      <c r="FL7" s="30">
        <v>0.9986625782880999</v>
      </c>
      <c r="FM7" s="30">
        <v>1.1509646058028256</v>
      </c>
      <c r="FN7" s="30">
        <v>1.0031846773591604</v>
      </c>
      <c r="FO7" s="30">
        <v>1.1473107911024811</v>
      </c>
      <c r="FP7" s="30">
        <v>0.42502710908696606</v>
      </c>
      <c r="FQ7" s="30">
        <v>0.97442033293697994</v>
      </c>
      <c r="FR7" s="30">
        <v>0.97647007654836437</v>
      </c>
      <c r="FS7" s="50">
        <v>32.65971340016155</v>
      </c>
      <c r="FT7" s="50">
        <v>22.582102989477576</v>
      </c>
      <c r="FU7" s="38">
        <v>672.69732502338138</v>
      </c>
      <c r="FV7" s="38">
        <v>14391.663565263609</v>
      </c>
      <c r="FW7" s="38">
        <v>368.78165689752166</v>
      </c>
      <c r="FX7" s="38">
        <v>8493.9323101228329</v>
      </c>
      <c r="FY7" s="38">
        <v>4260.0310435886413</v>
      </c>
      <c r="FZ7" s="38">
        <v>20766.511847663714</v>
      </c>
      <c r="GA7" s="20">
        <v>46.271484403052646</v>
      </c>
      <c r="GB7" s="20">
        <v>116.54201524961874</v>
      </c>
      <c r="GC7" s="20">
        <v>114.73542718373324</v>
      </c>
      <c r="GD7" s="20">
        <v>8580.6652771689696</v>
      </c>
      <c r="GE7" s="20">
        <v>71.860463981016622</v>
      </c>
      <c r="GF7" s="20">
        <v>460.73811124468523</v>
      </c>
      <c r="GG7" s="20">
        <v>50.136623702885529</v>
      </c>
      <c r="GH7" s="20">
        <v>1195.2460385634683</v>
      </c>
      <c r="GI7" s="20">
        <v>59589.813190057124</v>
      </c>
      <c r="GJ7" s="20">
        <v>508.29929043494849</v>
      </c>
      <c r="GK7" s="20">
        <v>13113.82536305424</v>
      </c>
      <c r="GL7" s="20">
        <v>338.17320702549051</v>
      </c>
      <c r="GM7" s="20">
        <v>8226.1394237456225</v>
      </c>
      <c r="GN7" s="20">
        <v>3785.5284983103893</v>
      </c>
      <c r="GO7" s="20">
        <v>21116.250467704493</v>
      </c>
      <c r="GP7" s="20">
        <v>38.570755841146152</v>
      </c>
      <c r="GQ7" s="20">
        <v>154.91260480048118</v>
      </c>
      <c r="GR7" s="20">
        <v>128.34209892347729</v>
      </c>
      <c r="GS7" s="20">
        <v>7548.7388894717151</v>
      </c>
      <c r="GT7" s="20">
        <v>54.145913635528977</v>
      </c>
      <c r="GU7" s="20">
        <v>460.89575312031923</v>
      </c>
      <c r="GV7" s="20">
        <v>35.669347797400242</v>
      </c>
      <c r="GW7" s="20">
        <v>847</v>
      </c>
      <c r="GX7" s="20">
        <v>56356.491613865255</v>
      </c>
      <c r="GY7" s="10">
        <v>1.9639105400000001</v>
      </c>
    </row>
    <row r="8" spans="1:207" s="21" customFormat="1" x14ac:dyDescent="0.25">
      <c r="A8" s="18">
        <v>6</v>
      </c>
      <c r="B8" s="25">
        <v>175.8</v>
      </c>
      <c r="C8" s="24">
        <v>85.35</v>
      </c>
      <c r="D8" s="24">
        <v>86.1</v>
      </c>
      <c r="E8" s="25">
        <v>86.9</v>
      </c>
      <c r="F8" s="34">
        <v>27.61631857486206</v>
      </c>
      <c r="G8" s="34">
        <v>27.890713752842927</v>
      </c>
      <c r="H8" s="34">
        <v>28.08588398299851</v>
      </c>
      <c r="I8" s="20">
        <v>90.800000000000011</v>
      </c>
      <c r="J8" s="20">
        <v>91.1</v>
      </c>
      <c r="K8" s="20">
        <f>AVERAGE(92.5,92.8)</f>
        <v>92.65</v>
      </c>
      <c r="L8" s="20">
        <v>98.9</v>
      </c>
      <c r="M8" s="20">
        <v>99.9</v>
      </c>
      <c r="N8" s="20">
        <f>AVERAGE(100.6,100.2)</f>
        <v>100.4</v>
      </c>
      <c r="O8" s="19">
        <v>36.693948548415612</v>
      </c>
      <c r="P8" s="19">
        <v>37.35863450857309</v>
      </c>
      <c r="Q8" s="19">
        <v>39.11381267679149</v>
      </c>
      <c r="R8" s="20">
        <v>204.44444444444446</v>
      </c>
      <c r="S8" s="20">
        <f>200+((6/180)*25)</f>
        <v>200.83333333333334</v>
      </c>
      <c r="T8" s="20">
        <f>200+((87/180)*25)</f>
        <v>212.08333333333334</v>
      </c>
      <c r="U8" s="19">
        <v>0.23802239715840146</v>
      </c>
      <c r="V8" s="19">
        <v>0.26012674081666143</v>
      </c>
      <c r="W8" s="19">
        <v>0.16935360719689285</v>
      </c>
      <c r="X8" s="19" t="s">
        <v>59</v>
      </c>
      <c r="Y8" s="19" t="s">
        <v>59</v>
      </c>
      <c r="Z8" s="19" t="s">
        <v>59</v>
      </c>
      <c r="AA8" s="19" t="s">
        <v>59</v>
      </c>
      <c r="AB8" s="19" t="s">
        <v>59</v>
      </c>
      <c r="AC8" s="19" t="s">
        <v>59</v>
      </c>
      <c r="AD8" s="19" t="s">
        <v>59</v>
      </c>
      <c r="AE8" s="19" t="s">
        <v>59</v>
      </c>
      <c r="AF8" s="19" t="s">
        <v>59</v>
      </c>
      <c r="AG8" s="19" t="s">
        <v>59</v>
      </c>
      <c r="AH8" s="19" t="s">
        <v>59</v>
      </c>
      <c r="AI8" s="19" t="s">
        <v>59</v>
      </c>
      <c r="AJ8" s="19" t="s">
        <v>59</v>
      </c>
      <c r="AK8" s="19" t="s">
        <v>59</v>
      </c>
      <c r="AL8" s="19" t="s">
        <v>59</v>
      </c>
      <c r="AM8" s="19" t="s">
        <v>59</v>
      </c>
      <c r="AN8" s="19" t="s">
        <v>59</v>
      </c>
      <c r="AO8" s="19" t="s">
        <v>59</v>
      </c>
      <c r="AP8" s="19" t="s">
        <v>59</v>
      </c>
      <c r="AQ8" s="19" t="s">
        <v>59</v>
      </c>
      <c r="AR8" s="19" t="s">
        <v>59</v>
      </c>
      <c r="AS8" s="19" t="s">
        <v>59</v>
      </c>
      <c r="AT8" s="19" t="s">
        <v>59</v>
      </c>
      <c r="AU8" s="19" t="s">
        <v>59</v>
      </c>
      <c r="AV8" s="19" t="s">
        <v>59</v>
      </c>
      <c r="AW8" s="19" t="s">
        <v>59</v>
      </c>
      <c r="AX8" s="19" t="s">
        <v>59</v>
      </c>
      <c r="AY8" s="19" t="s">
        <v>59</v>
      </c>
      <c r="AZ8" s="19" t="s">
        <v>59</v>
      </c>
      <c r="BA8" s="19" t="s">
        <v>59</v>
      </c>
      <c r="BB8" s="19" t="s">
        <v>59</v>
      </c>
      <c r="BC8" s="19" t="s">
        <v>59</v>
      </c>
      <c r="BD8" s="19" t="s">
        <v>59</v>
      </c>
      <c r="BE8" s="19" t="s">
        <v>59</v>
      </c>
      <c r="BF8" s="19" t="s">
        <v>59</v>
      </c>
      <c r="BG8" s="19" t="s">
        <v>59</v>
      </c>
      <c r="BH8" s="19" t="s">
        <v>59</v>
      </c>
      <c r="BI8" s="19" t="s">
        <v>59</v>
      </c>
      <c r="BJ8" s="19" t="s">
        <v>59</v>
      </c>
      <c r="BK8" s="19" t="s">
        <v>59</v>
      </c>
      <c r="BL8" s="19" t="s">
        <v>59</v>
      </c>
      <c r="BM8" s="19" t="s">
        <v>59</v>
      </c>
      <c r="BN8" s="19" t="s">
        <v>59</v>
      </c>
      <c r="BO8" s="19" t="s">
        <v>59</v>
      </c>
      <c r="BP8" s="19" t="s">
        <v>59</v>
      </c>
      <c r="BQ8" s="19" t="s">
        <v>59</v>
      </c>
      <c r="BR8" s="19" t="s">
        <v>59</v>
      </c>
      <c r="BS8" s="19" t="s">
        <v>59</v>
      </c>
      <c r="BT8" s="19" t="s">
        <v>59</v>
      </c>
      <c r="BU8" s="19" t="s">
        <v>59</v>
      </c>
      <c r="BV8" s="19" t="s">
        <v>59</v>
      </c>
      <c r="BW8" s="19">
        <v>1.1579999999999999</v>
      </c>
      <c r="BX8" s="19">
        <v>1.5550000000000002</v>
      </c>
      <c r="BY8" s="33">
        <v>0.66</v>
      </c>
      <c r="BZ8" s="33">
        <v>0.81</v>
      </c>
      <c r="CA8" s="19">
        <v>1.44</v>
      </c>
      <c r="CB8" s="19">
        <v>2.13</v>
      </c>
      <c r="CC8" s="20">
        <v>22</v>
      </c>
      <c r="CD8" s="20">
        <v>15</v>
      </c>
      <c r="CE8" s="13">
        <v>5.5350000000000001</v>
      </c>
      <c r="CF8" s="13">
        <v>7.4</v>
      </c>
      <c r="CG8" s="13">
        <v>7.0649999999999995</v>
      </c>
      <c r="CH8" s="13">
        <v>8.6849999999999987</v>
      </c>
      <c r="CI8" s="13">
        <v>7.51</v>
      </c>
      <c r="CJ8" s="13">
        <v>7.4849999999999994</v>
      </c>
      <c r="CK8" s="13">
        <v>7.0649999999999995</v>
      </c>
      <c r="CL8" s="13">
        <v>6.915</v>
      </c>
      <c r="CM8" s="13">
        <v>6.5449999999999999</v>
      </c>
      <c r="CN8" s="13">
        <v>4.41</v>
      </c>
      <c r="CO8" s="13">
        <v>5.6999999999999993</v>
      </c>
      <c r="CP8" s="13">
        <v>9.93</v>
      </c>
      <c r="CQ8" s="13">
        <v>10.285</v>
      </c>
      <c r="CR8" s="13">
        <v>9.8649999999999984</v>
      </c>
      <c r="CS8" s="13">
        <v>7.6349999999999998</v>
      </c>
      <c r="CT8" s="13">
        <v>5.8650000000000002</v>
      </c>
      <c r="CU8" s="13">
        <v>5.6449999999999996</v>
      </c>
      <c r="CV8" s="13">
        <v>6.2550000000000008</v>
      </c>
      <c r="CW8" s="14">
        <v>24.644239003275302</v>
      </c>
      <c r="CX8" s="14">
        <v>107.45871877820551</v>
      </c>
      <c r="CY8" s="14">
        <v>78.66658296075795</v>
      </c>
      <c r="CZ8" s="14">
        <v>164.77147063638699</v>
      </c>
      <c r="DA8" s="14">
        <v>126.24081855546649</v>
      </c>
      <c r="DB8" s="14">
        <v>140.19150496178952</v>
      </c>
      <c r="DC8" s="14">
        <v>173.91102036551649</v>
      </c>
      <c r="DD8" s="14">
        <v>136.16185076380299</v>
      </c>
      <c r="DE8" s="14">
        <v>100.22640357958605</v>
      </c>
      <c r="DF8" s="14">
        <v>34.123786247340206</v>
      </c>
      <c r="DG8" s="14">
        <v>122.4696411674055</v>
      </c>
      <c r="DH8" s="14">
        <v>333.94623129792751</v>
      </c>
      <c r="DI8" s="14">
        <v>426.01800088561004</v>
      </c>
      <c r="DJ8" s="14">
        <v>414.84083843387748</v>
      </c>
      <c r="DK8" s="14">
        <v>200.83439424776299</v>
      </c>
      <c r="DL8" s="14">
        <v>84.440079077301704</v>
      </c>
      <c r="DM8" s="14">
        <v>76.128664795704651</v>
      </c>
      <c r="DN8" s="14">
        <v>95.338099082345707</v>
      </c>
      <c r="DO8" s="13">
        <v>7.2706249999999999</v>
      </c>
      <c r="DP8" s="13">
        <v>7.5321875000000009</v>
      </c>
      <c r="DQ8" s="13">
        <v>123.72966103916957</v>
      </c>
      <c r="DR8" s="13">
        <v>215.42609907130412</v>
      </c>
      <c r="DS8" s="13">
        <v>400.58563060427144</v>
      </c>
      <c r="DT8" s="13">
        <v>491.00596930233769</v>
      </c>
      <c r="DU8" s="19">
        <v>90.420338698066246</v>
      </c>
      <c r="DV8" s="13">
        <v>0.43434823016001251</v>
      </c>
      <c r="DW8" s="13">
        <v>0.43215613382899648</v>
      </c>
      <c r="DX8" s="13">
        <v>0.26994100533376397</v>
      </c>
      <c r="DY8" s="13">
        <v>0.153759899789882</v>
      </c>
      <c r="DZ8" s="13">
        <v>8.3612817197349296E-2</v>
      </c>
      <c r="EA8" s="13">
        <v>3.3194601583966352E-2</v>
      </c>
      <c r="EB8" s="13">
        <v>3.1002505252949702E-2</v>
      </c>
      <c r="EC8" s="13">
        <v>0.19760182641021501</v>
      </c>
      <c r="ED8" s="13">
        <v>0.24802004202359801</v>
      </c>
      <c r="EE8" s="13">
        <v>0.16033618878293199</v>
      </c>
      <c r="EF8" s="13">
        <v>9.45732988524325E-2</v>
      </c>
      <c r="EG8" s="13">
        <v>4.6347179570066246E-2</v>
      </c>
      <c r="EH8" s="13">
        <v>3.1002505252949699E-2</v>
      </c>
      <c r="EI8" s="13">
        <v>2.881040892193305E-2</v>
      </c>
      <c r="EJ8" s="20">
        <v>227.7132438067093</v>
      </c>
      <c r="EK8" s="20">
        <v>596.5254706018759</v>
      </c>
      <c r="EL8" s="20">
        <v>733.84917206815896</v>
      </c>
      <c r="EM8" s="20">
        <v>1216.4438943639616</v>
      </c>
      <c r="EN8" s="20">
        <v>1192.9026883983126</v>
      </c>
      <c r="EO8" s="20">
        <v>1522.4795719173987</v>
      </c>
      <c r="EP8" s="20">
        <v>1110.5084675185428</v>
      </c>
      <c r="EQ8" s="20">
        <v>235.56031246192552</v>
      </c>
      <c r="ER8" s="20">
        <v>616.14314223991403</v>
      </c>
      <c r="ES8" s="20">
        <v>1753.9680972462775</v>
      </c>
      <c r="ET8" s="20">
        <v>2636.7633209581099</v>
      </c>
      <c r="EU8" s="20">
        <v>3064.4285626673995</v>
      </c>
      <c r="EV8" s="20">
        <v>1239.9851003296105</v>
      </c>
      <c r="EW8" s="20">
        <v>1059.5025212596374</v>
      </c>
      <c r="EX8" s="20">
        <v>2877.9848778096239</v>
      </c>
      <c r="EY8" s="20">
        <v>2792.1761308071827</v>
      </c>
      <c r="EZ8" s="20">
        <v>3591.6157801233221</v>
      </c>
      <c r="FA8" s="20">
        <v>3637.6011498023872</v>
      </c>
      <c r="FB8" s="11">
        <v>1.8545377741286784</v>
      </c>
      <c r="FC8" s="11">
        <v>1.1192743190661478</v>
      </c>
      <c r="FD8" s="11">
        <v>1.6794465704087211</v>
      </c>
      <c r="FE8" s="11">
        <v>2.042866016595565</v>
      </c>
      <c r="FF8" s="11">
        <v>1.2541334036194365</v>
      </c>
      <c r="FG8" s="11">
        <v>1.7199220272904485</v>
      </c>
      <c r="FH8" s="11">
        <v>1.3759134478504318</v>
      </c>
      <c r="FI8" s="11">
        <v>0.88763508551043968</v>
      </c>
      <c r="FJ8" s="30">
        <v>1.7918463239358762</v>
      </c>
      <c r="FK8" s="30">
        <v>0.92646220499372933</v>
      </c>
      <c r="FL8" s="30">
        <v>1.52</v>
      </c>
      <c r="FM8" s="30">
        <v>1.144159791576205</v>
      </c>
      <c r="FN8" s="30">
        <v>1.0661190120570598</v>
      </c>
      <c r="FO8" s="30">
        <v>1.0732008140147193</v>
      </c>
      <c r="FP8" s="30">
        <v>1.2130286897367641</v>
      </c>
      <c r="FQ8" s="30">
        <v>1.3434095442688354</v>
      </c>
      <c r="FR8" s="30">
        <v>0.63165320791552049</v>
      </c>
      <c r="FS8" s="50">
        <v>26.894978631338095</v>
      </c>
      <c r="FT8" s="50">
        <v>19.386589518858152</v>
      </c>
      <c r="FU8" s="38">
        <v>574.58942990999685</v>
      </c>
      <c r="FV8" s="38">
        <v>13483.436278150039</v>
      </c>
      <c r="FW8" s="38">
        <v>428.52230102076072</v>
      </c>
      <c r="FX8" s="38">
        <v>8307.6117965579506</v>
      </c>
      <c r="FY8" s="38">
        <v>4134.2746275700238</v>
      </c>
      <c r="FZ8" s="38">
        <v>20459.02515086249</v>
      </c>
      <c r="GA8" s="20">
        <v>58.717098234608748</v>
      </c>
      <c r="GB8" s="20">
        <v>141.3922921742577</v>
      </c>
      <c r="GC8" s="20">
        <v>120.5988550430356</v>
      </c>
      <c r="GD8" s="20">
        <v>8366.738730278179</v>
      </c>
      <c r="GE8" s="20">
        <v>81.941721513813334</v>
      </c>
      <c r="GF8" s="20">
        <v>403.61707821679005</v>
      </c>
      <c r="GG8" s="20">
        <v>70.425489534508372</v>
      </c>
      <c r="GH8" s="20">
        <v>889.04275254694971</v>
      </c>
      <c r="GI8" s="20">
        <v>57519.933601613397</v>
      </c>
      <c r="GJ8" s="20">
        <v>577.29453450098185</v>
      </c>
      <c r="GK8" s="20">
        <v>16043.675908069716</v>
      </c>
      <c r="GL8" s="20">
        <v>407.99320983486547</v>
      </c>
      <c r="GM8" s="20">
        <v>9377.2339486663695</v>
      </c>
      <c r="GN8" s="20">
        <v>4507.5693139883042</v>
      </c>
      <c r="GO8" s="20">
        <v>23535.230729175204</v>
      </c>
      <c r="GP8" s="20">
        <v>59.805774914517464</v>
      </c>
      <c r="GQ8" s="20">
        <v>120.64864315016221</v>
      </c>
      <c r="GR8" s="20">
        <v>116.69148432426854</v>
      </c>
      <c r="GS8" s="20">
        <v>9457.1907986764636</v>
      </c>
      <c r="GT8" s="20">
        <v>92.757857173457808</v>
      </c>
      <c r="GU8" s="20">
        <v>398.78380989053221</v>
      </c>
      <c r="GV8" s="20">
        <v>116.36757114204347</v>
      </c>
      <c r="GW8" s="20">
        <v>1128.2707793192958</v>
      </c>
      <c r="GX8" s="20">
        <v>65939.514362826172</v>
      </c>
      <c r="GY8" s="10">
        <v>2.0903085300000002</v>
      </c>
    </row>
    <row r="9" spans="1:207" s="21" customFormat="1" x14ac:dyDescent="0.25">
      <c r="A9" s="18">
        <v>7</v>
      </c>
      <c r="B9" s="25">
        <v>181.1</v>
      </c>
      <c r="C9" s="25">
        <v>101.5</v>
      </c>
      <c r="D9" s="24">
        <v>98.9</v>
      </c>
      <c r="E9" s="25">
        <v>99.6</v>
      </c>
      <c r="F9" s="24">
        <v>30.947754397401486</v>
      </c>
      <c r="G9" s="24">
        <v>30.12172955377201</v>
      </c>
      <c r="H9" s="24">
        <v>30.33492683069456</v>
      </c>
      <c r="I9" s="20">
        <v>110.95</v>
      </c>
      <c r="J9" s="20">
        <v>107.5</v>
      </c>
      <c r="K9" s="20">
        <f>AVERAGE(110.8,110.5)</f>
        <v>110.65</v>
      </c>
      <c r="L9" s="20">
        <v>111.05000000000001</v>
      </c>
      <c r="M9" s="20">
        <v>109.6</v>
      </c>
      <c r="N9" s="20">
        <f>AVERAGE(110.8,110)</f>
        <v>110.4</v>
      </c>
      <c r="O9" s="19">
        <v>28.936442721973766</v>
      </c>
      <c r="P9" s="19">
        <v>26.443050936842102</v>
      </c>
      <c r="Q9" s="19">
        <v>28.587640762329102</v>
      </c>
      <c r="R9" s="20">
        <v>177.36111111111111</v>
      </c>
      <c r="S9" s="20">
        <f>150+((97/180)*25)</f>
        <v>163.47222222222223</v>
      </c>
      <c r="T9" s="20">
        <f>150+((73/180)*25)</f>
        <v>160.13888888888889</v>
      </c>
      <c r="U9" s="19">
        <v>0.29279601588845239</v>
      </c>
      <c r="V9" s="19">
        <v>0.10035006147512471</v>
      </c>
      <c r="W9" s="19">
        <v>0.13192106212462695</v>
      </c>
      <c r="X9" s="19" t="s">
        <v>59</v>
      </c>
      <c r="Y9" s="19" t="s">
        <v>59</v>
      </c>
      <c r="Z9" s="19" t="s">
        <v>59</v>
      </c>
      <c r="AA9" s="19" t="s">
        <v>59</v>
      </c>
      <c r="AB9" s="19" t="s">
        <v>59</v>
      </c>
      <c r="AC9" s="19" t="s">
        <v>59</v>
      </c>
      <c r="AD9" s="19" t="s">
        <v>59</v>
      </c>
      <c r="AE9" s="19" t="s">
        <v>59</v>
      </c>
      <c r="AF9" s="19" t="s">
        <v>59</v>
      </c>
      <c r="AG9" s="19" t="s">
        <v>59</v>
      </c>
      <c r="AH9" s="19" t="s">
        <v>59</v>
      </c>
      <c r="AI9" s="19" t="s">
        <v>59</v>
      </c>
      <c r="AJ9" s="19" t="s">
        <v>59</v>
      </c>
      <c r="AK9" s="19" t="s">
        <v>59</v>
      </c>
      <c r="AL9" s="19" t="s">
        <v>59</v>
      </c>
      <c r="AM9" s="19" t="s">
        <v>59</v>
      </c>
      <c r="AN9" s="19" t="s">
        <v>59</v>
      </c>
      <c r="AO9" s="19" t="s">
        <v>59</v>
      </c>
      <c r="AP9" s="19" t="s">
        <v>59</v>
      </c>
      <c r="AQ9" s="19" t="s">
        <v>59</v>
      </c>
      <c r="AR9" s="19" t="s">
        <v>59</v>
      </c>
      <c r="AS9" s="19" t="s">
        <v>59</v>
      </c>
      <c r="AT9" s="19" t="s">
        <v>59</v>
      </c>
      <c r="AU9" s="19" t="s">
        <v>59</v>
      </c>
      <c r="AV9" s="19" t="s">
        <v>59</v>
      </c>
      <c r="AW9" s="19" t="s">
        <v>59</v>
      </c>
      <c r="AX9" s="19" t="s">
        <v>59</v>
      </c>
      <c r="AY9" s="19" t="s">
        <v>59</v>
      </c>
      <c r="AZ9" s="19" t="s">
        <v>59</v>
      </c>
      <c r="BA9" s="19" t="s">
        <v>59</v>
      </c>
      <c r="BB9" s="19" t="s">
        <v>59</v>
      </c>
      <c r="BC9" s="19" t="s">
        <v>59</v>
      </c>
      <c r="BD9" s="19" t="s">
        <v>59</v>
      </c>
      <c r="BE9" s="19" t="s">
        <v>59</v>
      </c>
      <c r="BF9" s="19" t="s">
        <v>59</v>
      </c>
      <c r="BG9" s="19" t="s">
        <v>59</v>
      </c>
      <c r="BH9" s="19" t="s">
        <v>59</v>
      </c>
      <c r="BI9" s="19" t="s">
        <v>59</v>
      </c>
      <c r="BJ9" s="19" t="s">
        <v>59</v>
      </c>
      <c r="BK9" s="19" t="s">
        <v>59</v>
      </c>
      <c r="BL9" s="19" t="s">
        <v>59</v>
      </c>
      <c r="BM9" s="19" t="s">
        <v>59</v>
      </c>
      <c r="BN9" s="19" t="s">
        <v>59</v>
      </c>
      <c r="BO9" s="19" t="s">
        <v>59</v>
      </c>
      <c r="BP9" s="19" t="s">
        <v>59</v>
      </c>
      <c r="BQ9" s="19" t="s">
        <v>59</v>
      </c>
      <c r="BR9" s="19" t="s">
        <v>59</v>
      </c>
      <c r="BS9" s="19" t="s">
        <v>59</v>
      </c>
      <c r="BT9" s="19" t="s">
        <v>59</v>
      </c>
      <c r="BU9" s="19" t="s">
        <v>59</v>
      </c>
      <c r="BV9" s="19" t="s">
        <v>59</v>
      </c>
      <c r="BW9" s="19">
        <v>1.2130000000000001</v>
      </c>
      <c r="BX9" s="19">
        <v>2.294</v>
      </c>
      <c r="BY9" s="25">
        <v>0.77</v>
      </c>
      <c r="BZ9" s="25">
        <v>1.04</v>
      </c>
      <c r="CA9" s="19">
        <v>2.67</v>
      </c>
      <c r="CB9" s="19">
        <v>3.64</v>
      </c>
      <c r="CC9" s="20">
        <v>7</v>
      </c>
      <c r="CD9" s="20">
        <v>46</v>
      </c>
      <c r="CE9" s="13">
        <v>5.46</v>
      </c>
      <c r="CF9" s="13">
        <v>7.8500000000000005</v>
      </c>
      <c r="CG9" s="13">
        <v>8.9050000000000011</v>
      </c>
      <c r="CH9" s="13">
        <v>8.0949999999999989</v>
      </c>
      <c r="CI9" s="13">
        <v>7.22</v>
      </c>
      <c r="CJ9" s="13">
        <v>6.1750000000000007</v>
      </c>
      <c r="CK9" s="13">
        <v>7</v>
      </c>
      <c r="CL9" s="13">
        <v>6.7100000000000009</v>
      </c>
      <c r="CM9" s="13">
        <v>5.7649999999999997</v>
      </c>
      <c r="CN9" s="13">
        <v>5.4550000000000001</v>
      </c>
      <c r="CO9" s="13">
        <v>9.7100000000000009</v>
      </c>
      <c r="CP9" s="13">
        <v>9.745000000000001</v>
      </c>
      <c r="CQ9" s="13">
        <v>11.24</v>
      </c>
      <c r="CR9" s="13">
        <v>8.495000000000001</v>
      </c>
      <c r="CS9" s="13">
        <v>8.1449999999999996</v>
      </c>
      <c r="CT9" s="13">
        <v>7.82</v>
      </c>
      <c r="CU9" s="13">
        <v>6.7449999999999992</v>
      </c>
      <c r="CV9" s="13">
        <v>6.625</v>
      </c>
      <c r="CW9" s="14">
        <v>121.29255266641201</v>
      </c>
      <c r="CX9" s="14">
        <v>947.26890002657342</v>
      </c>
      <c r="CY9" s="14">
        <v>1190.422755368565</v>
      </c>
      <c r="CZ9" s="14">
        <v>1209.0324884510551</v>
      </c>
      <c r="DA9" s="14">
        <v>724.90873740298207</v>
      </c>
      <c r="DB9" s="14">
        <v>304.45503966934746</v>
      </c>
      <c r="DC9" s="14">
        <v>393.22711593223846</v>
      </c>
      <c r="DD9" s="14">
        <v>251.754318949077</v>
      </c>
      <c r="DE9" s="14">
        <v>153.56911374641351</v>
      </c>
      <c r="DF9" s="14">
        <v>155.66972391444551</v>
      </c>
      <c r="DG9" s="14">
        <v>1504.240407865575</v>
      </c>
      <c r="DH9" s="14">
        <v>1492.921980012175</v>
      </c>
      <c r="DI9" s="14">
        <v>1409.5756928288351</v>
      </c>
      <c r="DJ9" s="14">
        <v>1278.01173550364</v>
      </c>
      <c r="DK9" s="14">
        <v>909.731790743479</v>
      </c>
      <c r="DL9" s="14">
        <v>765.08461104732203</v>
      </c>
      <c r="DM9" s="14">
        <v>903.31848740471696</v>
      </c>
      <c r="DN9" s="14">
        <v>486.0695286380685</v>
      </c>
      <c r="DO9" s="13">
        <v>7.1959375000000003</v>
      </c>
      <c r="DP9" s="13">
        <v>8.4924999999999979</v>
      </c>
      <c r="DQ9" s="13">
        <v>644.81252362578141</v>
      </c>
      <c r="DR9" s="13">
        <v>1072.9692914602499</v>
      </c>
      <c r="DS9" s="13">
        <v>388.87920754598304</v>
      </c>
      <c r="DT9" s="13">
        <v>335.33104418298058</v>
      </c>
      <c r="DU9" s="19">
        <v>-53.548163363002459</v>
      </c>
      <c r="DV9" s="13">
        <v>0.35104856958138053</v>
      </c>
      <c r="DW9" s="13">
        <v>0.32035922094714697</v>
      </c>
      <c r="DX9" s="13">
        <v>0.25459633101664753</v>
      </c>
      <c r="DY9" s="13">
        <v>0.14279941813479852</v>
      </c>
      <c r="DZ9" s="13">
        <v>0.10772587683853249</v>
      </c>
      <c r="EA9" s="13">
        <v>5.9499757556166148E-2</v>
      </c>
      <c r="EB9" s="13">
        <v>4.8539275901083E-2</v>
      </c>
      <c r="EC9" s="13">
        <v>0.33351179893324701</v>
      </c>
      <c r="ED9" s="13">
        <v>0.35981695490544702</v>
      </c>
      <c r="EE9" s="13">
        <v>0.26555681267173104</v>
      </c>
      <c r="EF9" s="13">
        <v>0.22609907871343149</v>
      </c>
      <c r="EG9" s="13">
        <v>0.21075440439631499</v>
      </c>
      <c r="EH9" s="13">
        <v>0.19760182641021501</v>
      </c>
      <c r="EI9" s="13">
        <v>0.14279941813479902</v>
      </c>
      <c r="EJ9" s="20">
        <v>1130.2705549047739</v>
      </c>
      <c r="EK9" s="20">
        <v>3480.7408484718353</v>
      </c>
      <c r="EL9" s="20">
        <v>4675.8279403023889</v>
      </c>
      <c r="EM9" s="20">
        <v>4941.8440039324696</v>
      </c>
      <c r="EN9" s="20">
        <v>3726.9049670548852</v>
      </c>
      <c r="EO9" s="20">
        <v>3385.4515122461421</v>
      </c>
      <c r="EP9" s="20">
        <v>3536.3262946034979</v>
      </c>
      <c r="EQ9" s="20">
        <v>1531.2798448545634</v>
      </c>
      <c r="ER9" s="20">
        <v>4918.0216698760387</v>
      </c>
      <c r="ES9" s="20">
        <v>4957.7255599700693</v>
      </c>
      <c r="ET9" s="20">
        <v>5033.1629511487308</v>
      </c>
      <c r="EU9" s="20">
        <v>5056.9852852051627</v>
      </c>
      <c r="EV9" s="20">
        <v>4151.7365910610906</v>
      </c>
      <c r="EW9" s="20">
        <v>2686.6630465910789</v>
      </c>
      <c r="EX9" s="20">
        <v>2857.9273399371086</v>
      </c>
      <c r="EY9" s="20">
        <v>3204.8440900819796</v>
      </c>
      <c r="EZ9" s="20">
        <v>3254.1349877339717</v>
      </c>
      <c r="FA9" s="20">
        <v>3185.7742636500384</v>
      </c>
      <c r="FB9" s="11">
        <v>0.47113531047265989</v>
      </c>
      <c r="FC9" s="11">
        <v>0.85504648351190238</v>
      </c>
      <c r="FD9" s="11">
        <v>0.80354882565280572</v>
      </c>
      <c r="FE9" s="11">
        <v>0.71948642025730047</v>
      </c>
      <c r="FF9" s="11">
        <v>0.83439211391018631</v>
      </c>
      <c r="FG9" s="11">
        <v>0.56189074300807529</v>
      </c>
      <c r="FH9" s="11">
        <v>0.83959622272875278</v>
      </c>
      <c r="FI9" s="11">
        <v>1.007017234539604</v>
      </c>
      <c r="FJ9" s="30">
        <v>1.0111156908973999</v>
      </c>
      <c r="FK9" s="30">
        <v>1.1249196485965287</v>
      </c>
      <c r="FL9" s="30">
        <v>0.74188529159698124</v>
      </c>
      <c r="FM9" s="30">
        <v>1.0025359256128485</v>
      </c>
      <c r="FN9" s="30">
        <v>1.2214385139956252</v>
      </c>
      <c r="FO9" s="30">
        <v>0.82078296543418094</v>
      </c>
      <c r="FP9" s="30">
        <v>0.61188811188811176</v>
      </c>
      <c r="FQ9" s="30">
        <v>1.1492944924897586</v>
      </c>
      <c r="FR9" s="30">
        <v>0.43740903489804928</v>
      </c>
      <c r="FS9" s="50">
        <v>28.403773410338797</v>
      </c>
      <c r="FT9" s="50">
        <v>36.751963390375735</v>
      </c>
      <c r="FU9" s="38">
        <v>335.80147295006185</v>
      </c>
      <c r="FV9" s="38">
        <v>13752.044995604629</v>
      </c>
      <c r="FW9" s="38">
        <v>319.12578854202519</v>
      </c>
      <c r="FX9" s="38">
        <v>8853.9023770321437</v>
      </c>
      <c r="FY9" s="38">
        <v>3775.5757801267941</v>
      </c>
      <c r="FZ9" s="38">
        <v>22983.216849291024</v>
      </c>
      <c r="GA9" s="20">
        <v>39.615956915717121</v>
      </c>
      <c r="GB9" s="20">
        <v>117.25990397525041</v>
      </c>
      <c r="GC9" s="20">
        <v>77.868005037839481</v>
      </c>
      <c r="GD9" s="20">
        <v>9397.0538771025458</v>
      </c>
      <c r="GE9" s="20">
        <v>48.534034450052715</v>
      </c>
      <c r="GF9" s="20">
        <v>170.37737814075879</v>
      </c>
      <c r="GG9" s="20">
        <v>39.44864318027232</v>
      </c>
      <c r="GH9" s="20">
        <v>543.14521643908233</v>
      </c>
      <c r="GI9" s="20">
        <v>60452.970278788191</v>
      </c>
      <c r="GJ9" s="20">
        <v>439.58409453705252</v>
      </c>
      <c r="GK9" s="20">
        <v>14071.82039163089</v>
      </c>
      <c r="GL9" s="20">
        <v>347.86626732893643</v>
      </c>
      <c r="GM9" s="20">
        <v>8631.5304742601293</v>
      </c>
      <c r="GN9" s="20">
        <v>3793.300018749514</v>
      </c>
      <c r="GO9" s="20">
        <v>22937.805623960721</v>
      </c>
      <c r="GP9" s="20">
        <v>37.705955926443309</v>
      </c>
      <c r="GQ9" s="20">
        <v>105.03282300774974</v>
      </c>
      <c r="GR9" s="20">
        <v>97.88838545875997</v>
      </c>
      <c r="GS9" s="20">
        <v>8350.3134069901917</v>
      </c>
      <c r="GT9" s="20">
        <v>87.258996360981101</v>
      </c>
      <c r="GU9" s="20">
        <v>237.97272223811316</v>
      </c>
      <c r="GV9" s="20">
        <v>96.89597394541012</v>
      </c>
      <c r="GW9" s="20">
        <v>502.14313595078664</v>
      </c>
      <c r="GX9" s="20">
        <v>59737.118270345672</v>
      </c>
      <c r="GY9" s="10">
        <v>3.7898108399999999</v>
      </c>
    </row>
    <row r="10" spans="1:207" s="21" customFormat="1" x14ac:dyDescent="0.25">
      <c r="A10" s="18">
        <v>8</v>
      </c>
      <c r="B10" s="25">
        <v>173.9</v>
      </c>
      <c r="C10" s="25">
        <v>97.8</v>
      </c>
      <c r="D10" s="24">
        <v>95.4</v>
      </c>
      <c r="E10" s="25">
        <v>95.7</v>
      </c>
      <c r="F10" s="34">
        <v>32.339975814459798</v>
      </c>
      <c r="G10" s="34">
        <v>31.691983157405179</v>
      </c>
      <c r="H10" s="34">
        <v>31.755027713478732</v>
      </c>
      <c r="I10" s="20">
        <v>111.55</v>
      </c>
      <c r="J10" s="20">
        <f>AVERAGE(110.2,110.4)</f>
        <v>110.30000000000001</v>
      </c>
      <c r="K10" s="20">
        <f>AVERAGE(110.8,110.3)</f>
        <v>110.55</v>
      </c>
      <c r="L10" s="20">
        <v>109.9</v>
      </c>
      <c r="M10" s="20">
        <f>AVERAGE(109.7,109.8)</f>
        <v>109.75</v>
      </c>
      <c r="N10" s="20">
        <f>AVERAGE(110.2,110.9)</f>
        <v>110.55000000000001</v>
      </c>
      <c r="O10" s="19">
        <v>29.288963449412378</v>
      </c>
      <c r="P10" s="19">
        <v>29.722337135901817</v>
      </c>
      <c r="Q10" s="19">
        <v>30.983372688846153</v>
      </c>
      <c r="R10" s="20">
        <v>175</v>
      </c>
      <c r="S10" s="20">
        <f>150+((171/180)*25)</f>
        <v>173.75</v>
      </c>
      <c r="T10" s="20">
        <f>150+((179/180)*25)</f>
        <v>174.86111111111111</v>
      </c>
      <c r="U10" s="19">
        <v>9.274708616733518E-2</v>
      </c>
      <c r="V10" s="19">
        <v>8.3805884336723757E-2</v>
      </c>
      <c r="W10" s="19">
        <v>0.15445058243345455</v>
      </c>
      <c r="X10" s="19" t="s">
        <v>59</v>
      </c>
      <c r="Y10" s="19" t="s">
        <v>59</v>
      </c>
      <c r="Z10" s="19" t="s">
        <v>59</v>
      </c>
      <c r="AA10" s="19" t="s">
        <v>59</v>
      </c>
      <c r="AB10" s="19" t="s">
        <v>59</v>
      </c>
      <c r="AC10" s="19" t="s">
        <v>59</v>
      </c>
      <c r="AD10" s="19" t="s">
        <v>59</v>
      </c>
      <c r="AE10" s="19" t="s">
        <v>59</v>
      </c>
      <c r="AF10" s="19" t="s">
        <v>59</v>
      </c>
      <c r="AG10" s="19" t="s">
        <v>59</v>
      </c>
      <c r="AH10" s="19" t="s">
        <v>59</v>
      </c>
      <c r="AI10" s="19" t="s">
        <v>59</v>
      </c>
      <c r="AJ10" s="19" t="s">
        <v>59</v>
      </c>
      <c r="AK10" s="19" t="s">
        <v>59</v>
      </c>
      <c r="AL10" s="19" t="s">
        <v>59</v>
      </c>
      <c r="AM10" s="19" t="s">
        <v>59</v>
      </c>
      <c r="AN10" s="19" t="s">
        <v>59</v>
      </c>
      <c r="AO10" s="19" t="s">
        <v>59</v>
      </c>
      <c r="AP10" s="19" t="s">
        <v>59</v>
      </c>
      <c r="AQ10" s="19" t="s">
        <v>59</v>
      </c>
      <c r="AR10" s="19" t="s">
        <v>59</v>
      </c>
      <c r="AS10" s="19" t="s">
        <v>59</v>
      </c>
      <c r="AT10" s="19" t="s">
        <v>59</v>
      </c>
      <c r="AU10" s="19" t="s">
        <v>59</v>
      </c>
      <c r="AV10" s="19" t="s">
        <v>59</v>
      </c>
      <c r="AW10" s="19" t="s">
        <v>59</v>
      </c>
      <c r="AX10" s="19" t="s">
        <v>59</v>
      </c>
      <c r="AY10" s="19" t="s">
        <v>59</v>
      </c>
      <c r="AZ10" s="19" t="s">
        <v>59</v>
      </c>
      <c r="BA10" s="19" t="s">
        <v>59</v>
      </c>
      <c r="BB10" s="19" t="s">
        <v>59</v>
      </c>
      <c r="BC10" s="19" t="s">
        <v>59</v>
      </c>
      <c r="BD10" s="19" t="s">
        <v>59</v>
      </c>
      <c r="BE10" s="19" t="s">
        <v>59</v>
      </c>
      <c r="BF10" s="19" t="s">
        <v>59</v>
      </c>
      <c r="BG10" s="19" t="s">
        <v>59</v>
      </c>
      <c r="BH10" s="19" t="s">
        <v>59</v>
      </c>
      <c r="BI10" s="19" t="s">
        <v>59</v>
      </c>
      <c r="BJ10" s="19" t="s">
        <v>59</v>
      </c>
      <c r="BK10" s="19" t="s">
        <v>59</v>
      </c>
      <c r="BL10" s="19" t="s">
        <v>59</v>
      </c>
      <c r="BM10" s="19" t="s">
        <v>59</v>
      </c>
      <c r="BN10" s="19" t="s">
        <v>59</v>
      </c>
      <c r="BO10" s="19" t="s">
        <v>59</v>
      </c>
      <c r="BP10" s="19" t="s">
        <v>59</v>
      </c>
      <c r="BQ10" s="19" t="s">
        <v>59</v>
      </c>
      <c r="BR10" s="19" t="s">
        <v>59</v>
      </c>
      <c r="BS10" s="19" t="s">
        <v>59</v>
      </c>
      <c r="BT10" s="19" t="s">
        <v>59</v>
      </c>
      <c r="BU10" s="19" t="s">
        <v>59</v>
      </c>
      <c r="BV10" s="19" t="s">
        <v>59</v>
      </c>
      <c r="BW10" s="19">
        <v>1.0920000000000001</v>
      </c>
      <c r="BX10" s="19">
        <v>1.0570000000000002</v>
      </c>
      <c r="BY10" s="25">
        <v>1.06</v>
      </c>
      <c r="BZ10" s="25">
        <v>0.98</v>
      </c>
      <c r="CA10" s="19">
        <v>4.4800000000000004</v>
      </c>
      <c r="CB10" s="19">
        <v>3.97</v>
      </c>
      <c r="CC10" s="20">
        <v>28</v>
      </c>
      <c r="CD10" s="20">
        <v>43</v>
      </c>
      <c r="CE10" s="13">
        <v>5.05</v>
      </c>
      <c r="CF10" s="13">
        <v>7.335</v>
      </c>
      <c r="CG10" s="13">
        <v>9.6050000000000004</v>
      </c>
      <c r="CH10" s="13">
        <v>10.129999999999999</v>
      </c>
      <c r="CI10" s="13">
        <v>9.7100000000000009</v>
      </c>
      <c r="CJ10" s="13">
        <v>8.57</v>
      </c>
      <c r="CK10" s="13">
        <v>7.335</v>
      </c>
      <c r="CL10" s="13">
        <v>7.3</v>
      </c>
      <c r="CM10" s="13">
        <v>6.25</v>
      </c>
      <c r="CN10" s="13">
        <v>5.34</v>
      </c>
      <c r="CO10" s="13">
        <v>8.18</v>
      </c>
      <c r="CP10" s="13">
        <f>AVERAGE(CQ10,CO10)</f>
        <v>7.83</v>
      </c>
      <c r="CQ10" s="13">
        <v>7.48</v>
      </c>
      <c r="CR10" s="13">
        <v>8.2850000000000001</v>
      </c>
      <c r="CS10" s="13">
        <v>9.2100000000000009</v>
      </c>
      <c r="CT10" s="13">
        <v>8.6649999999999991</v>
      </c>
      <c r="CU10" s="13">
        <v>8.0050000000000008</v>
      </c>
      <c r="CV10" s="13">
        <v>8.5299999999999994</v>
      </c>
      <c r="CW10" s="14">
        <v>40.829289889083903</v>
      </c>
      <c r="CX10" s="14">
        <v>207.768227600611</v>
      </c>
      <c r="CY10" s="14">
        <v>692.48098403394351</v>
      </c>
      <c r="CZ10" s="14">
        <v>524.96056890179148</v>
      </c>
      <c r="DA10" s="14">
        <v>526.82018497740796</v>
      </c>
      <c r="DB10" s="14">
        <v>504.04215349682698</v>
      </c>
      <c r="DC10" s="14">
        <v>293.15271319583803</v>
      </c>
      <c r="DD10" s="14">
        <v>283.20564172025104</v>
      </c>
      <c r="DE10" s="14">
        <v>301.33658880574899</v>
      </c>
      <c r="DF10" s="14">
        <v>42.838873597053507</v>
      </c>
      <c r="DG10" s="14">
        <v>455.883484337808</v>
      </c>
      <c r="DH10" s="14">
        <v>542.16254509337796</v>
      </c>
      <c r="DI10" s="14">
        <v>513.85221724995199</v>
      </c>
      <c r="DJ10" s="14">
        <v>768.40808528964089</v>
      </c>
      <c r="DK10" s="14">
        <v>521.78365618410589</v>
      </c>
      <c r="DL10" s="14">
        <v>465.89879170693052</v>
      </c>
      <c r="DM10" s="14">
        <v>447.1137309621825</v>
      </c>
      <c r="DN10" s="14">
        <v>207.768227600611</v>
      </c>
      <c r="DO10" s="13">
        <v>8.2043750000000006</v>
      </c>
      <c r="DP10" s="13">
        <v>8.0737500000000004</v>
      </c>
      <c r="DQ10" s="13">
        <v>400.43917665926074</v>
      </c>
      <c r="DR10" s="13">
        <v>480.05075767785371</v>
      </c>
      <c r="DS10" s="13">
        <v>415.07192545647513</v>
      </c>
      <c r="DT10" s="13">
        <v>353.17462666671906</v>
      </c>
      <c r="DU10" s="19">
        <v>-61.897298789756064</v>
      </c>
      <c r="DV10" s="13">
        <v>0.51484360772173998</v>
      </c>
      <c r="DW10" s="13">
        <v>0.54398902749957756</v>
      </c>
      <c r="DX10" s="13">
        <v>0.38993466581672598</v>
      </c>
      <c r="DY10" s="13">
        <v>0.25045301402279302</v>
      </c>
      <c r="DZ10" s="13">
        <v>0.18591672737186898</v>
      </c>
      <c r="EA10" s="13">
        <v>7.7662311054189859E-2</v>
      </c>
      <c r="EB10" s="13">
        <v>0.1088895465304435</v>
      </c>
      <c r="EC10" s="13">
        <v>0.45655276816606699</v>
      </c>
      <c r="ED10" s="13">
        <v>0.44198005827714898</v>
      </c>
      <c r="EE10" s="13">
        <v>0.346216536149971</v>
      </c>
      <c r="EF10" s="13">
        <v>0.21714396284812248</v>
      </c>
      <c r="EG10" s="13">
        <v>0.18591672737186898</v>
      </c>
      <c r="EH10" s="13">
        <v>8.3907758149440653E-2</v>
      </c>
      <c r="EI10" s="13">
        <v>6.5171416863688408E-2</v>
      </c>
      <c r="EJ10" s="20">
        <v>592.60193627426838</v>
      </c>
      <c r="EK10" s="20">
        <v>1585.2561211591269</v>
      </c>
      <c r="EL10" s="20">
        <v>3413.6231178245134</v>
      </c>
      <c r="EM10" s="20">
        <v>3524.3713123301409</v>
      </c>
      <c r="EN10" s="20">
        <v>3355.6593362429767</v>
      </c>
      <c r="EO10" s="20">
        <v>3260.6052790478066</v>
      </c>
      <c r="EP10" s="20">
        <v>2589.6809090268152</v>
      </c>
      <c r="EQ10" s="20">
        <v>794.66395414608542</v>
      </c>
      <c r="ER10" s="20">
        <v>1422.4294465633895</v>
      </c>
      <c r="ES10" s="20">
        <v>2727.0046104930989</v>
      </c>
      <c r="ET10" s="20">
        <v>3254.719977556394</v>
      </c>
      <c r="EU10" s="20">
        <v>4522.0215653738223</v>
      </c>
      <c r="EV10" s="20">
        <v>3853.0589625166458</v>
      </c>
      <c r="EW10" s="20">
        <v>43.307130409126273</v>
      </c>
      <c r="EX10" s="20">
        <v>1596.0155719814843</v>
      </c>
      <c r="EY10" s="20">
        <v>1616.453694671095</v>
      </c>
      <c r="EZ10" s="20">
        <v>2884.9280593320873</v>
      </c>
      <c r="FA10" s="20">
        <v>2740.3365211879172</v>
      </c>
      <c r="FB10" s="11">
        <v>1.8177784577723377</v>
      </c>
      <c r="FC10" s="11">
        <v>1.0858493132054943</v>
      </c>
      <c r="FD10" s="11">
        <v>1.6266046213093708</v>
      </c>
      <c r="FE10" s="11">
        <v>1.4793702497285557</v>
      </c>
      <c r="FF10" s="11">
        <v>1.0791121590102424</v>
      </c>
      <c r="FG10" s="11">
        <v>1.9102393911235014</v>
      </c>
      <c r="FH10" s="11">
        <v>1.8209297128170743</v>
      </c>
      <c r="FI10" s="11">
        <v>1.3829218106995886</v>
      </c>
      <c r="FJ10" s="30">
        <v>1.1077933298773113</v>
      </c>
      <c r="FK10" s="30">
        <v>0.96289424860853423</v>
      </c>
      <c r="FL10" s="30">
        <v>0.98021900388555272</v>
      </c>
      <c r="FM10" s="30">
        <v>0.83088418430884181</v>
      </c>
      <c r="FN10" s="30">
        <v>0.66333597150771662</v>
      </c>
      <c r="FO10" s="30">
        <v>1.2525842408640975</v>
      </c>
      <c r="FP10" s="30">
        <v>0.94400362729539777</v>
      </c>
      <c r="FQ10" s="30">
        <v>1.4837662337662338</v>
      </c>
      <c r="FR10" s="30">
        <v>1.3465322183964583</v>
      </c>
      <c r="FS10" s="50">
        <v>17.906262565876329</v>
      </c>
      <c r="FT10" s="50">
        <v>30.460573840202972</v>
      </c>
      <c r="FU10" s="38">
        <v>725.93384156929801</v>
      </c>
      <c r="FV10" s="38">
        <v>14561.904704088989</v>
      </c>
      <c r="FW10" s="38">
        <v>489.83063245572839</v>
      </c>
      <c r="FX10" s="38">
        <v>8238.726568335398</v>
      </c>
      <c r="FY10" s="38">
        <v>3468.2636375799752</v>
      </c>
      <c r="FZ10" s="38">
        <v>21032.368134732566</v>
      </c>
      <c r="GA10" s="20">
        <v>121.06510714074284</v>
      </c>
      <c r="GB10" s="20">
        <v>167.82718029880178</v>
      </c>
      <c r="GC10" s="20">
        <v>167.99920852649109</v>
      </c>
      <c r="GD10" s="20">
        <v>8765.7585438247588</v>
      </c>
      <c r="GE10" s="20">
        <v>153.12139207781095</v>
      </c>
      <c r="GF10" s="20">
        <v>492.45298466636501</v>
      </c>
      <c r="GG10" s="20">
        <v>138.33933817974406</v>
      </c>
      <c r="GH10" s="20">
        <v>1136.7924348186227</v>
      </c>
      <c r="GI10" s="20">
        <v>59660.383708295289</v>
      </c>
      <c r="GJ10" s="20">
        <v>651.11862910566435</v>
      </c>
      <c r="GK10" s="20">
        <v>12583.248565786747</v>
      </c>
      <c r="GL10" s="20">
        <v>352.62261423225232</v>
      </c>
      <c r="GM10" s="20">
        <v>6507.0906335489071</v>
      </c>
      <c r="GN10" s="20">
        <v>2998.0717246087465</v>
      </c>
      <c r="GO10" s="20">
        <v>14809.242031419783</v>
      </c>
      <c r="GP10" s="20">
        <v>53.51594662972051</v>
      </c>
      <c r="GQ10" s="20">
        <v>91.630407375111218</v>
      </c>
      <c r="GR10" s="20">
        <v>104.44862128138814</v>
      </c>
      <c r="GS10" s="20">
        <v>8991.2543929320327</v>
      </c>
      <c r="GT10" s="20">
        <v>92.903108636231991</v>
      </c>
      <c r="GU10" s="20">
        <v>378.68900979690795</v>
      </c>
      <c r="GV10" s="20">
        <v>80.504243922086559</v>
      </c>
      <c r="GW10" s="20">
        <v>1111.5561413424052</v>
      </c>
      <c r="GX10" s="20">
        <v>48805.896070617979</v>
      </c>
      <c r="GY10" s="10">
        <v>2.5915537099999999</v>
      </c>
    </row>
    <row r="11" spans="1:207" s="21" customFormat="1" x14ac:dyDescent="0.25">
      <c r="A11" s="18">
        <v>9</v>
      </c>
      <c r="B11" s="25">
        <v>174.6</v>
      </c>
      <c r="C11" s="25">
        <v>103.4</v>
      </c>
      <c r="D11" s="24">
        <v>105.4</v>
      </c>
      <c r="E11" s="25">
        <v>107.1</v>
      </c>
      <c r="F11" s="34">
        <v>34.132844602054845</v>
      </c>
      <c r="G11" s="34">
        <v>34.574199380944698</v>
      </c>
      <c r="H11" s="34">
        <v>35.212471593300229</v>
      </c>
      <c r="I11" s="20">
        <v>108.6</v>
      </c>
      <c r="J11" s="20">
        <f>AVERAGE(109,109.2)</f>
        <v>109.1</v>
      </c>
      <c r="K11" s="20">
        <f>AVERAGE(109.9,110)</f>
        <v>109.95</v>
      </c>
      <c r="L11" s="20">
        <v>114.1</v>
      </c>
      <c r="M11" s="20">
        <f>AVERAGE(115,115.2)</f>
        <v>115.1</v>
      </c>
      <c r="N11" s="20">
        <f>AVERAGE(114.5,115)</f>
        <v>114.75</v>
      </c>
      <c r="O11" s="19">
        <v>40.486802333110084</v>
      </c>
      <c r="P11" s="19">
        <v>38.720186461658351</v>
      </c>
      <c r="Q11" s="19">
        <v>41.386875152857137</v>
      </c>
      <c r="R11" s="20">
        <v>276</v>
      </c>
      <c r="S11" s="20">
        <v>275</v>
      </c>
      <c r="T11" s="20">
        <v>275</v>
      </c>
      <c r="U11" s="19">
        <v>0.62140518449395898</v>
      </c>
      <c r="V11" s="19">
        <v>0.44555460394315544</v>
      </c>
      <c r="W11" s="19">
        <v>0.51315226862712549</v>
      </c>
      <c r="X11" s="19" t="s">
        <v>59</v>
      </c>
      <c r="Y11" s="19" t="s">
        <v>59</v>
      </c>
      <c r="Z11" s="19" t="s">
        <v>59</v>
      </c>
      <c r="AA11" s="19" t="s">
        <v>59</v>
      </c>
      <c r="AB11" s="19" t="s">
        <v>59</v>
      </c>
      <c r="AC11" s="19" t="s">
        <v>59</v>
      </c>
      <c r="AD11" s="19" t="s">
        <v>59</v>
      </c>
      <c r="AE11" s="19" t="s">
        <v>59</v>
      </c>
      <c r="AF11" s="19" t="s">
        <v>59</v>
      </c>
      <c r="AG11" s="19" t="s">
        <v>59</v>
      </c>
      <c r="AH11" s="19" t="s">
        <v>59</v>
      </c>
      <c r="AI11" s="19" t="s">
        <v>59</v>
      </c>
      <c r="AJ11" s="19" t="s">
        <v>59</v>
      </c>
      <c r="AK11" s="19" t="s">
        <v>59</v>
      </c>
      <c r="AL11" s="19" t="s">
        <v>59</v>
      </c>
      <c r="AM11" s="19" t="s">
        <v>59</v>
      </c>
      <c r="AN11" s="19" t="s">
        <v>59</v>
      </c>
      <c r="AO11" s="19" t="s">
        <v>59</v>
      </c>
      <c r="AP11" s="19" t="s">
        <v>59</v>
      </c>
      <c r="AQ11" s="19" t="s">
        <v>59</v>
      </c>
      <c r="AR11" s="19" t="s">
        <v>59</v>
      </c>
      <c r="AS11" s="19" t="s">
        <v>59</v>
      </c>
      <c r="AT11" s="19" t="s">
        <v>59</v>
      </c>
      <c r="AU11" s="19" t="s">
        <v>59</v>
      </c>
      <c r="AV11" s="19" t="s">
        <v>59</v>
      </c>
      <c r="AW11" s="19" t="s">
        <v>59</v>
      </c>
      <c r="AX11" s="19" t="s">
        <v>59</v>
      </c>
      <c r="AY11" s="19" t="s">
        <v>59</v>
      </c>
      <c r="AZ11" s="19" t="s">
        <v>59</v>
      </c>
      <c r="BA11" s="19" t="s">
        <v>59</v>
      </c>
      <c r="BB11" s="19" t="s">
        <v>59</v>
      </c>
      <c r="BC11" s="19" t="s">
        <v>59</v>
      </c>
      <c r="BD11" s="19" t="s">
        <v>59</v>
      </c>
      <c r="BE11" s="19" t="s">
        <v>59</v>
      </c>
      <c r="BF11" s="19" t="s">
        <v>59</v>
      </c>
      <c r="BG11" s="19" t="s">
        <v>59</v>
      </c>
      <c r="BH11" s="19" t="s">
        <v>59</v>
      </c>
      <c r="BI11" s="19" t="s">
        <v>59</v>
      </c>
      <c r="BJ11" s="19" t="s">
        <v>59</v>
      </c>
      <c r="BK11" s="19" t="s">
        <v>59</v>
      </c>
      <c r="BL11" s="19" t="s">
        <v>59</v>
      </c>
      <c r="BM11" s="19" t="s">
        <v>59</v>
      </c>
      <c r="BN11" s="19" t="s">
        <v>59</v>
      </c>
      <c r="BO11" s="19" t="s">
        <v>59</v>
      </c>
      <c r="BP11" s="19" t="s">
        <v>59</v>
      </c>
      <c r="BQ11" s="19" t="s">
        <v>59</v>
      </c>
      <c r="BR11" s="19" t="s">
        <v>59</v>
      </c>
      <c r="BS11" s="19" t="s">
        <v>59</v>
      </c>
      <c r="BT11" s="19" t="s">
        <v>59</v>
      </c>
      <c r="BU11" s="19" t="s">
        <v>59</v>
      </c>
      <c r="BV11" s="19" t="s">
        <v>59</v>
      </c>
      <c r="BW11" s="19">
        <v>1.534</v>
      </c>
      <c r="BX11" s="19">
        <v>2.7509999999999999</v>
      </c>
      <c r="BY11" s="25">
        <v>0.65500000000000003</v>
      </c>
      <c r="BZ11" s="25">
        <v>0.89500000000000002</v>
      </c>
      <c r="CA11" s="19">
        <v>2.6749999999999998</v>
      </c>
      <c r="CB11" s="19">
        <v>3.82</v>
      </c>
      <c r="CC11" s="20">
        <v>31</v>
      </c>
      <c r="CD11" s="20">
        <v>39</v>
      </c>
      <c r="CE11" s="36">
        <v>4.43</v>
      </c>
      <c r="CF11" s="36">
        <v>6.73</v>
      </c>
      <c r="CG11" s="13">
        <v>9.4</v>
      </c>
      <c r="CH11" s="13">
        <v>9.1649999999999991</v>
      </c>
      <c r="CI11" s="13">
        <v>14.025</v>
      </c>
      <c r="CJ11" s="36">
        <v>13.54</v>
      </c>
      <c r="CK11" s="36">
        <v>12.95</v>
      </c>
      <c r="CL11" s="36">
        <v>10.89</v>
      </c>
      <c r="CM11" s="13">
        <v>9.6999999999999993</v>
      </c>
      <c r="CN11" s="13">
        <v>4.97</v>
      </c>
      <c r="CO11" s="13">
        <v>6.02</v>
      </c>
      <c r="CP11" s="13">
        <v>6.085</v>
      </c>
      <c r="CQ11" s="13">
        <v>8.93</v>
      </c>
      <c r="CR11" s="13">
        <v>9.9050000000000011</v>
      </c>
      <c r="CS11" s="13">
        <v>8.2799999999999994</v>
      </c>
      <c r="CT11" s="13">
        <v>9.02</v>
      </c>
      <c r="CU11" s="13">
        <v>6.38</v>
      </c>
      <c r="CV11" s="13">
        <v>7.78</v>
      </c>
      <c r="CW11" s="14">
        <v>31.544084520482699</v>
      </c>
      <c r="CX11" s="14">
        <v>105.8820694536155</v>
      </c>
      <c r="CY11" s="14">
        <v>186.8927842683355</v>
      </c>
      <c r="CZ11" s="14">
        <v>150.42665950664951</v>
      </c>
      <c r="DA11" s="14">
        <v>232.793331995627</v>
      </c>
      <c r="DB11" s="14">
        <v>307.04294089301845</v>
      </c>
      <c r="DC11" s="14">
        <v>277.80733840148002</v>
      </c>
      <c r="DD11" s="14">
        <v>299.69012952581852</v>
      </c>
      <c r="DE11" s="14">
        <v>206.18619528819852</v>
      </c>
      <c r="DF11" s="14">
        <v>42.609574469768248</v>
      </c>
      <c r="DG11" s="14">
        <v>99.311439425802504</v>
      </c>
      <c r="DH11" s="14">
        <v>137.89793711210649</v>
      </c>
      <c r="DI11" s="14">
        <v>220.49249208985199</v>
      </c>
      <c r="DJ11" s="14">
        <v>331.36630756091097</v>
      </c>
      <c r="DK11" s="14">
        <v>307.30823259841998</v>
      </c>
      <c r="DL11" s="14">
        <v>255.00003848184849</v>
      </c>
      <c r="DM11" s="14">
        <v>262.64790600594802</v>
      </c>
      <c r="DN11" s="14">
        <v>188.52461868055849</v>
      </c>
      <c r="DO11" s="13">
        <v>10.470625</v>
      </c>
      <c r="DP11" s="13">
        <v>7.6243750000000006</v>
      </c>
      <c r="DQ11" s="13">
        <v>209.92504924361066</v>
      </c>
      <c r="DR11" s="13">
        <v>216.19893123125649</v>
      </c>
      <c r="DS11" s="13">
        <v>485.55954332292367</v>
      </c>
      <c r="DT11" s="13">
        <v>423.52604689686552</v>
      </c>
      <c r="DU11" s="19">
        <v>-62.03349642605815</v>
      </c>
      <c r="DV11" s="13">
        <v>0.402020349646456</v>
      </c>
      <c r="DW11" s="13">
        <v>0.32741425867156598</v>
      </c>
      <c r="DX11" s="13">
        <v>0.35725669506152202</v>
      </c>
      <c r="DY11" s="13">
        <v>0.18939299036801949</v>
      </c>
      <c r="DZ11" s="13">
        <v>0.1670111630755525</v>
      </c>
      <c r="EA11" s="13">
        <v>7.9349006180056608E-2</v>
      </c>
      <c r="EB11" s="13">
        <v>2.5259590223261248E-2</v>
      </c>
      <c r="EC11" s="13">
        <v>0.36285215188463904</v>
      </c>
      <c r="ED11" s="13">
        <v>0.27145969044039847</v>
      </c>
      <c r="EE11" s="13">
        <v>0.21363996993485851</v>
      </c>
      <c r="EF11" s="13">
        <v>0.1315732698624795</v>
      </c>
      <c r="EG11" s="13">
        <v>6.2562635710706152E-2</v>
      </c>
      <c r="EH11" s="13">
        <v>1.7798981125772301E-2</v>
      </c>
      <c r="EI11" s="13">
        <v>1.40686765770277E-2</v>
      </c>
      <c r="EJ11" s="20">
        <v>372.8840139282122</v>
      </c>
      <c r="EK11" s="20">
        <v>553.36659299818552</v>
      </c>
      <c r="EL11" s="20">
        <v>1055.5789869320297</v>
      </c>
      <c r="EM11" s="20">
        <v>933.94942277617713</v>
      </c>
      <c r="EN11" s="20">
        <v>1832.43878379844</v>
      </c>
      <c r="EO11" s="20">
        <v>2813.322365700476</v>
      </c>
      <c r="EP11" s="20">
        <v>2750.5458164587476</v>
      </c>
      <c r="EQ11" s="20">
        <v>482.74297510123864</v>
      </c>
      <c r="ER11" s="20">
        <v>521.97831837732133</v>
      </c>
      <c r="ES11" s="20">
        <v>737.77270639577</v>
      </c>
      <c r="ET11" s="20">
        <v>1059.5025212596374</v>
      </c>
      <c r="EU11" s="20">
        <v>1961.9154166095109</v>
      </c>
      <c r="EV11" s="20">
        <v>2154.1685986623106</v>
      </c>
      <c r="EW11" s="20">
        <v>1679.4209450217229</v>
      </c>
      <c r="EX11" s="20">
        <v>2826.0578667018599</v>
      </c>
      <c r="EY11" s="20">
        <v>3981.6500257277344</v>
      </c>
      <c r="EZ11" s="20">
        <v>4055.183185699605</v>
      </c>
      <c r="FA11" s="20">
        <v>4048.7328153386711</v>
      </c>
      <c r="FB11" s="11">
        <v>1.0964068166949319</v>
      </c>
      <c r="FC11" s="11">
        <v>0.94639113507038031</v>
      </c>
      <c r="FD11" s="11">
        <v>0.79630665051408678</v>
      </c>
      <c r="FE11" s="11">
        <v>0.91707750515936715</v>
      </c>
      <c r="FF11" s="11">
        <v>0.98427649448057608</v>
      </c>
      <c r="FG11" s="11">
        <v>1.2802024035420621</v>
      </c>
      <c r="FH11" s="11">
        <v>1.1729294892560196</v>
      </c>
      <c r="FI11" s="11">
        <v>0.98395721925133683</v>
      </c>
      <c r="FJ11" s="30">
        <v>0.88969697754693644</v>
      </c>
      <c r="FK11" s="30">
        <v>1.0522243713733075</v>
      </c>
      <c r="FL11" s="30">
        <v>0.90207701907648419</v>
      </c>
      <c r="FM11" s="30">
        <v>1.3380681818181819</v>
      </c>
      <c r="FN11" s="30">
        <v>0.93126513466765493</v>
      </c>
      <c r="FO11" s="30">
        <v>1.4368283875415402</v>
      </c>
      <c r="FP11" s="30">
        <v>0.8375366568914957</v>
      </c>
      <c r="FQ11" s="30">
        <v>0.75397175639894087</v>
      </c>
      <c r="FR11" s="30">
        <v>0.9730806551207033</v>
      </c>
      <c r="FS11" s="50">
        <v>27.72766254239037</v>
      </c>
      <c r="FT11" s="50">
        <v>24.496564289247342</v>
      </c>
      <c r="FU11" s="38">
        <v>938.98022347214055</v>
      </c>
      <c r="FV11" s="38">
        <v>17032.905152296411</v>
      </c>
      <c r="FW11" s="38">
        <v>464.69783904622562</v>
      </c>
      <c r="FX11" s="38">
        <v>10346.11406049548</v>
      </c>
      <c r="FY11" s="38">
        <v>4619.4830094621348</v>
      </c>
      <c r="FZ11" s="38">
        <v>26592.988234123804</v>
      </c>
      <c r="GA11" s="20">
        <v>121.29712219057382</v>
      </c>
      <c r="GB11" s="20">
        <v>224.00518003220958</v>
      </c>
      <c r="GC11" s="20">
        <v>227.55793714281086</v>
      </c>
      <c r="GD11" s="20">
        <v>10539.121353687869</v>
      </c>
      <c r="GE11" s="20">
        <v>161.42648955888708</v>
      </c>
      <c r="GF11" s="20">
        <v>629.40823374350066</v>
      </c>
      <c r="GG11" s="20">
        <v>170.7971482804374</v>
      </c>
      <c r="GH11" s="20">
        <v>1162.1081766554096</v>
      </c>
      <c r="GI11" s="20">
        <v>73230.89016018789</v>
      </c>
      <c r="GJ11" s="20">
        <v>605.69785196367104</v>
      </c>
      <c r="GK11" s="20">
        <v>14268.394866093602</v>
      </c>
      <c r="GL11" s="20">
        <v>361.8033429095106</v>
      </c>
      <c r="GM11" s="20">
        <v>8440.2163522702995</v>
      </c>
      <c r="GN11" s="20">
        <v>3962.1065035710512</v>
      </c>
      <c r="GO11" s="20">
        <v>22314.765508225581</v>
      </c>
      <c r="GP11" s="20">
        <v>51.536938588305695</v>
      </c>
      <c r="GQ11" s="20">
        <v>169.7647259973686</v>
      </c>
      <c r="GR11" s="20">
        <v>115.75036696671074</v>
      </c>
      <c r="GS11" s="20">
        <v>8667.4117300356484</v>
      </c>
      <c r="GT11" s="20">
        <v>101.15761608834447</v>
      </c>
      <c r="GU11" s="20">
        <v>519.32845907038268</v>
      </c>
      <c r="GV11" s="20">
        <v>90.814558764509997</v>
      </c>
      <c r="GW11" s="20">
        <v>995.5672105335882</v>
      </c>
      <c r="GX11" s="20">
        <v>60664.316031078582</v>
      </c>
      <c r="GY11" s="10">
        <v>1.96149021</v>
      </c>
    </row>
    <row r="12" spans="1:207" s="21" customFormat="1" x14ac:dyDescent="0.25">
      <c r="A12" s="16" t="s">
        <v>2</v>
      </c>
      <c r="B12" s="25"/>
      <c r="C12" s="25"/>
      <c r="D12" s="24"/>
      <c r="E12" s="25"/>
      <c r="F12" s="34"/>
      <c r="G12" s="34"/>
      <c r="H12" s="34"/>
      <c r="I12" s="20"/>
      <c r="J12" s="20"/>
      <c r="K12" s="20"/>
      <c r="L12" s="20"/>
      <c r="M12" s="20"/>
      <c r="N12" s="20"/>
      <c r="O12" s="19"/>
      <c r="P12" s="19"/>
      <c r="Q12" s="19"/>
      <c r="R12" s="20"/>
      <c r="S12" s="20"/>
      <c r="T12" s="20"/>
      <c r="U12" s="19"/>
      <c r="V12" s="19"/>
      <c r="W12" s="19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25"/>
      <c r="BZ12" s="25"/>
      <c r="CA12" s="19"/>
      <c r="CB12" s="19"/>
      <c r="CC12" s="20"/>
      <c r="CD12" s="20"/>
      <c r="CE12" s="36"/>
      <c r="CF12" s="36"/>
      <c r="CG12" s="36"/>
      <c r="CH12" s="36"/>
      <c r="CI12" s="36"/>
      <c r="CJ12" s="36"/>
      <c r="CK12" s="36"/>
      <c r="CL12" s="36"/>
      <c r="CM12" s="36"/>
      <c r="CN12" s="13"/>
      <c r="CO12" s="13"/>
      <c r="CP12" s="13"/>
      <c r="CQ12" s="13"/>
      <c r="CR12" s="13"/>
      <c r="CS12" s="13"/>
      <c r="CT12" s="13"/>
      <c r="CU12" s="13"/>
      <c r="CV12" s="13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3"/>
      <c r="DP12" s="13"/>
      <c r="DQ12" s="13"/>
      <c r="DR12" s="13"/>
      <c r="DS12" s="13"/>
      <c r="DT12" s="13"/>
      <c r="DU12" s="19"/>
      <c r="DV12" s="36"/>
      <c r="DW12" s="36"/>
      <c r="DX12" s="36"/>
      <c r="DY12" s="36"/>
      <c r="DZ12" s="36"/>
      <c r="EA12" s="36"/>
      <c r="EB12" s="36"/>
      <c r="EC12" s="13"/>
      <c r="ED12" s="13"/>
      <c r="EE12" s="13"/>
      <c r="EF12" s="13"/>
      <c r="EG12" s="13"/>
      <c r="EH12" s="13"/>
      <c r="EI12" s="13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19"/>
    </row>
    <row r="13" spans="1:207" s="21" customFormat="1" x14ac:dyDescent="0.25">
      <c r="A13" s="18">
        <v>1</v>
      </c>
      <c r="B13" s="24">
        <v>175.1</v>
      </c>
      <c r="C13" s="24">
        <v>84.6</v>
      </c>
      <c r="D13" s="24">
        <v>84.4</v>
      </c>
      <c r="E13" s="25">
        <v>84.6</v>
      </c>
      <c r="F13" s="34">
        <v>27.592945990559041</v>
      </c>
      <c r="G13" s="34">
        <v>27.592945990559041</v>
      </c>
      <c r="H13" s="34">
        <v>27.592945990559041</v>
      </c>
      <c r="I13" s="20">
        <v>100.25</v>
      </c>
      <c r="J13" s="20">
        <v>98.7</v>
      </c>
      <c r="K13" s="20">
        <f>(100.3+100.4)/2</f>
        <v>100.35</v>
      </c>
      <c r="L13" s="20">
        <v>106.6</v>
      </c>
      <c r="M13" s="20">
        <v>107.3</v>
      </c>
      <c r="N13" s="20">
        <f>(109.1+109.4)/2</f>
        <v>109.25</v>
      </c>
      <c r="O13" s="19">
        <v>33.135035594304405</v>
      </c>
      <c r="P13" s="19">
        <v>31.520850803541101</v>
      </c>
      <c r="Q13" s="19">
        <v>33.415121327275813</v>
      </c>
      <c r="R13" s="20">
        <f>175+((30/180)*25)</f>
        <v>179.16666666666666</v>
      </c>
      <c r="S13" s="20">
        <f>175+((92/180)*25)</f>
        <v>187.77777777777777</v>
      </c>
      <c r="T13" s="20">
        <f>175+((119/180)*25)</f>
        <v>191.52777777777777</v>
      </c>
      <c r="U13" s="19">
        <v>0.37864438137039524</v>
      </c>
      <c r="V13" s="19">
        <v>0.17483867171509537</v>
      </c>
      <c r="W13" s="19">
        <v>0.26524715787172304</v>
      </c>
      <c r="X13" s="20">
        <v>15.112500000000001</v>
      </c>
      <c r="Y13" s="20">
        <v>28.762499999999999</v>
      </c>
      <c r="Z13" s="20">
        <v>34.027500000000003</v>
      </c>
      <c r="AA13" s="20">
        <v>15.795</v>
      </c>
      <c r="AB13" s="20">
        <v>19.4025</v>
      </c>
      <c r="AC13" s="20">
        <v>21.06</v>
      </c>
      <c r="AD13" s="20">
        <v>18.817499999999999</v>
      </c>
      <c r="AE13" s="20">
        <v>43.094999999999999</v>
      </c>
      <c r="AF13" s="20">
        <v>26.715</v>
      </c>
      <c r="AG13" s="20">
        <v>14.625</v>
      </c>
      <c r="AH13" s="20">
        <v>15.21</v>
      </c>
      <c r="AI13" s="20">
        <v>17.0625</v>
      </c>
      <c r="AJ13" s="20">
        <v>13.065</v>
      </c>
      <c r="AK13" s="20">
        <v>70.2</v>
      </c>
      <c r="AL13" s="20">
        <v>47.384999999999998</v>
      </c>
      <c r="AM13" s="20">
        <v>89.017499999999998</v>
      </c>
      <c r="AN13" s="20">
        <v>489.35249999999996</v>
      </c>
      <c r="AO13" s="20">
        <v>241.76</v>
      </c>
      <c r="AP13" s="20">
        <v>224.4</v>
      </c>
      <c r="AQ13" s="20">
        <v>225.36</v>
      </c>
      <c r="AR13" s="20">
        <v>309</v>
      </c>
      <c r="AS13" s="20">
        <v>282.52</v>
      </c>
      <c r="AT13" s="20">
        <v>310</v>
      </c>
      <c r="AU13" s="20">
        <v>394.6</v>
      </c>
      <c r="AV13" s="20">
        <v>343.92</v>
      </c>
      <c r="AW13" s="20">
        <v>365.44</v>
      </c>
      <c r="AX13" s="20">
        <v>384.16</v>
      </c>
      <c r="AY13" s="20">
        <v>394</v>
      </c>
      <c r="AZ13" s="20">
        <v>399.16</v>
      </c>
      <c r="BA13" s="20">
        <v>398.84</v>
      </c>
      <c r="BB13" s="20">
        <v>333.28</v>
      </c>
      <c r="BC13" s="20">
        <v>332.92</v>
      </c>
      <c r="BD13" s="20">
        <v>275.44</v>
      </c>
      <c r="BE13" s="23">
        <v>5214.7999999999993</v>
      </c>
      <c r="BF13" s="20">
        <v>256.8725</v>
      </c>
      <c r="BG13" s="20">
        <v>253.16249999999999</v>
      </c>
      <c r="BH13" s="20">
        <v>259.38749999999999</v>
      </c>
      <c r="BI13" s="20">
        <v>324.79500000000002</v>
      </c>
      <c r="BJ13" s="20">
        <v>301.92250000000001</v>
      </c>
      <c r="BK13" s="20">
        <v>331.06</v>
      </c>
      <c r="BL13" s="20">
        <v>413.41750000000002</v>
      </c>
      <c r="BM13" s="20">
        <v>387.01499999999999</v>
      </c>
      <c r="BN13" s="20">
        <v>392.15499999999997</v>
      </c>
      <c r="BO13" s="20">
        <v>398.78500000000003</v>
      </c>
      <c r="BP13" s="20">
        <v>409.21</v>
      </c>
      <c r="BQ13" s="20">
        <v>416.22250000000003</v>
      </c>
      <c r="BR13" s="20">
        <v>411.90499999999997</v>
      </c>
      <c r="BS13" s="20">
        <v>403.48</v>
      </c>
      <c r="BT13" s="20">
        <v>380.30500000000001</v>
      </c>
      <c r="BU13" s="20">
        <v>364.45749999999998</v>
      </c>
      <c r="BV13" s="23">
        <v>5704.1525000000001</v>
      </c>
      <c r="BW13" s="19">
        <v>1.224</v>
      </c>
      <c r="BX13" s="19">
        <v>1.351</v>
      </c>
      <c r="BY13" s="25">
        <v>0.78</v>
      </c>
      <c r="BZ13" s="25">
        <v>0.84</v>
      </c>
      <c r="CA13" s="19">
        <v>3.91</v>
      </c>
      <c r="CB13" s="19">
        <v>4.46</v>
      </c>
      <c r="CC13" s="20">
        <v>36</v>
      </c>
      <c r="CD13" s="20">
        <v>29</v>
      </c>
      <c r="CE13" s="13">
        <v>5.6150000000000002</v>
      </c>
      <c r="CF13" s="13">
        <v>6.8900000000000006</v>
      </c>
      <c r="CG13" s="13">
        <v>8.1950000000000003</v>
      </c>
      <c r="CH13" s="13">
        <v>8.85</v>
      </c>
      <c r="CI13" s="13">
        <v>9.625</v>
      </c>
      <c r="CJ13" s="13">
        <v>7.07</v>
      </c>
      <c r="CK13" s="13">
        <v>10.035</v>
      </c>
      <c r="CL13" s="13">
        <v>8.84</v>
      </c>
      <c r="CM13" s="13">
        <v>9.26</v>
      </c>
      <c r="CN13" s="13">
        <v>5.6950000000000003</v>
      </c>
      <c r="CO13" s="13">
        <v>6.61</v>
      </c>
      <c r="CP13" s="13">
        <v>8.0250000000000004</v>
      </c>
      <c r="CQ13" s="13">
        <v>9.9899999999999984</v>
      </c>
      <c r="CR13" s="13">
        <v>10.585000000000001</v>
      </c>
      <c r="CS13" s="13">
        <v>10.85</v>
      </c>
      <c r="CT13" s="13">
        <v>9.9700000000000006</v>
      </c>
      <c r="CU13" s="13">
        <v>9.0850000000000009</v>
      </c>
      <c r="CV13" s="13">
        <v>9.3350000000000009</v>
      </c>
      <c r="CW13" s="14">
        <v>24.805876254659101</v>
      </c>
      <c r="CX13" s="14">
        <f>AVERAGE(132.545348567013,141.11898)</f>
        <v>136.8321642835065</v>
      </c>
      <c r="CY13" s="14">
        <v>167.608367727961</v>
      </c>
      <c r="CZ13" s="14">
        <v>261.37592924009448</v>
      </c>
      <c r="DA13" s="14">
        <v>278.30688436786352</v>
      </c>
      <c r="DB13" s="14">
        <v>174.40189608033501</v>
      </c>
      <c r="DC13" s="14">
        <v>216.17656486809651</v>
      </c>
      <c r="DD13" s="14">
        <v>175.00246649383999</v>
      </c>
      <c r="DE13" s="14">
        <v>217.7450507400435</v>
      </c>
      <c r="DF13" s="14">
        <v>26.868918882453549</v>
      </c>
      <c r="DG13" s="14">
        <v>110.5023937876845</v>
      </c>
      <c r="DH13" s="14">
        <v>174.69182785003801</v>
      </c>
      <c r="DI13" s="14">
        <v>286.00293478384197</v>
      </c>
      <c r="DJ13" s="14">
        <v>338.86309614667198</v>
      </c>
      <c r="DK13" s="14">
        <v>421.93989785931797</v>
      </c>
      <c r="DL13" s="14">
        <v>400.83855889917402</v>
      </c>
      <c r="DM13" s="14">
        <v>299.25478581392099</v>
      </c>
      <c r="DN13" s="14">
        <v>335.6443692581505</v>
      </c>
      <c r="DO13" s="13">
        <v>8.3678125000000012</v>
      </c>
      <c r="DP13" s="13">
        <v>9.0787500000000012</v>
      </c>
      <c r="DQ13" s="13">
        <v>191.37246706988105</v>
      </c>
      <c r="DR13" s="13">
        <v>276.66876740136894</v>
      </c>
      <c r="DS13" s="13">
        <v>386.12484640011405</v>
      </c>
      <c r="DT13" s="13">
        <v>350.76658427225033</v>
      </c>
      <c r="DU13" s="19">
        <v>-35.358262127863725</v>
      </c>
      <c r="DV13" s="13">
        <v>0.53583220042726754</v>
      </c>
      <c r="DW13" s="13">
        <v>0.53583220042726754</v>
      </c>
      <c r="DX13" s="13">
        <v>0.54900223344338706</v>
      </c>
      <c r="DY13" s="13">
        <v>0.35145173820159248</v>
      </c>
      <c r="DZ13" s="13">
        <v>0.22194641354308298</v>
      </c>
      <c r="EA13" s="13">
        <v>0.11219613840875201</v>
      </c>
      <c r="EB13" s="13">
        <v>5.2930989836213901E-2</v>
      </c>
      <c r="EC13" s="13">
        <v>0.44583697481711648</v>
      </c>
      <c r="ED13" s="13">
        <v>0.50290711788696851</v>
      </c>
      <c r="EE13" s="13">
        <v>0.43266694180099702</v>
      </c>
      <c r="EF13" s="13">
        <v>0.26584652359681449</v>
      </c>
      <c r="EG13" s="13">
        <v>0.13195118793293151</v>
      </c>
      <c r="EH13" s="13">
        <v>4.4150967825467499E-2</v>
      </c>
      <c r="EI13" s="13">
        <v>2.8785929306661302E-2</v>
      </c>
      <c r="EJ13" s="20">
        <v>611.22403877423028</v>
      </c>
      <c r="EK13" s="20">
        <v>2200.8771890300832</v>
      </c>
      <c r="EL13" s="20">
        <v>1181.7044031805622</v>
      </c>
      <c r="EM13" s="20">
        <v>1476.559422986084</v>
      </c>
      <c r="EN13" s="20">
        <v>1524.6336109978545</v>
      </c>
      <c r="EO13" s="20">
        <v>1694.4957419727741</v>
      </c>
      <c r="EP13" s="20">
        <v>1710.52047131003</v>
      </c>
      <c r="EQ13" s="20">
        <v>313.16407310125811</v>
      </c>
      <c r="ER13" s="20">
        <v>659.29822678600067</v>
      </c>
      <c r="ES13" s="20">
        <v>1152.8598903735005</v>
      </c>
      <c r="ET13" s="20">
        <v>1867.5628188151434</v>
      </c>
      <c r="EU13" s="20">
        <v>2130.3683799461542</v>
      </c>
      <c r="EV13" s="20">
        <v>2389.9689952097087</v>
      </c>
      <c r="EW13" s="20">
        <v>2287.4107274512676</v>
      </c>
      <c r="EX13" s="20">
        <v>2475.4424185859516</v>
      </c>
      <c r="EY13" s="20">
        <v>2313.7125130239683</v>
      </c>
      <c r="EZ13" s="20">
        <v>2850.2991083015941</v>
      </c>
      <c r="FA13" s="20">
        <v>3114.0304522684073</v>
      </c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19"/>
    </row>
    <row r="14" spans="1:207" s="21" customFormat="1" x14ac:dyDescent="0.25">
      <c r="A14" s="18">
        <v>2</v>
      </c>
      <c r="B14" s="25">
        <v>179.6</v>
      </c>
      <c r="C14" s="25">
        <v>95.7</v>
      </c>
      <c r="D14" s="24">
        <v>93.7</v>
      </c>
      <c r="E14" s="25">
        <v>93.6</v>
      </c>
      <c r="F14" s="34">
        <v>29.668751643097004</v>
      </c>
      <c r="G14" s="34">
        <v>29.048715036135732</v>
      </c>
      <c r="H14" s="34">
        <v>28.985426462022126</v>
      </c>
      <c r="I14" s="20">
        <v>104.4</v>
      </c>
      <c r="J14" s="20">
        <f>AVERAGE(104.2,104.9)</f>
        <v>104.55000000000001</v>
      </c>
      <c r="K14" s="20">
        <f>AVERAGE(103.8,104.1)</f>
        <v>103.94999999999999</v>
      </c>
      <c r="L14" s="20">
        <v>117.4</v>
      </c>
      <c r="M14" s="20">
        <f>AVERAGE(113.2,115.8)</f>
        <v>114.5</v>
      </c>
      <c r="N14" s="20">
        <f>AVERAGE(113.2,115.8)</f>
        <v>114.5</v>
      </c>
      <c r="O14" s="19">
        <v>36.280290679931639</v>
      </c>
      <c r="P14" s="19">
        <v>36.703569746535756</v>
      </c>
      <c r="Q14" s="19">
        <v>39.643116430802777</v>
      </c>
      <c r="R14" s="20">
        <v>233.33333333333334</v>
      </c>
      <c r="S14" s="20">
        <f>225+((62/180)*25)</f>
        <v>233.61111111111111</v>
      </c>
      <c r="T14" s="20">
        <v>250</v>
      </c>
      <c r="U14" s="19">
        <v>0.40361459235101926</v>
      </c>
      <c r="V14" s="19">
        <v>0.36763459092378636</v>
      </c>
      <c r="W14" s="19">
        <v>0.34774667901952161</v>
      </c>
      <c r="X14" s="20">
        <v>68.834999999999994</v>
      </c>
      <c r="Y14" s="20">
        <v>83.557500000000005</v>
      </c>
      <c r="Z14" s="20">
        <v>38.902500000000003</v>
      </c>
      <c r="AA14" s="20">
        <v>49.237499999999997</v>
      </c>
      <c r="AB14" s="20">
        <v>46.897500000000001</v>
      </c>
      <c r="AC14" s="20">
        <v>13.3575</v>
      </c>
      <c r="AD14" s="20">
        <v>25.545000000000002</v>
      </c>
      <c r="AE14" s="20">
        <v>79.95</v>
      </c>
      <c r="AF14" s="20">
        <v>29.5425</v>
      </c>
      <c r="AG14" s="20">
        <v>88.237499999999997</v>
      </c>
      <c r="AH14" s="20">
        <v>61.034999999999997</v>
      </c>
      <c r="AI14" s="20">
        <v>61.912500000000001</v>
      </c>
      <c r="AJ14" s="20">
        <v>68.737499999999997</v>
      </c>
      <c r="AK14" s="20">
        <v>121.1925</v>
      </c>
      <c r="AL14" s="20">
        <v>126.75</v>
      </c>
      <c r="AM14" s="20">
        <v>103.155</v>
      </c>
      <c r="AN14" s="20">
        <v>1066.845</v>
      </c>
      <c r="AO14" s="20">
        <v>196.12</v>
      </c>
      <c r="AP14" s="20">
        <v>192.88</v>
      </c>
      <c r="AQ14" s="20">
        <v>241.52</v>
      </c>
      <c r="AR14" s="20">
        <v>325.76</v>
      </c>
      <c r="AS14" s="20">
        <v>333.8</v>
      </c>
      <c r="AT14" s="20">
        <v>313.24</v>
      </c>
      <c r="AU14" s="20">
        <v>448.2</v>
      </c>
      <c r="AV14" s="20">
        <v>399.88</v>
      </c>
      <c r="AW14" s="20">
        <v>428.08</v>
      </c>
      <c r="AX14" s="20">
        <v>402.68</v>
      </c>
      <c r="AY14" s="20">
        <v>424.72</v>
      </c>
      <c r="AZ14" s="20">
        <v>450.36</v>
      </c>
      <c r="BA14" s="20">
        <v>424.92</v>
      </c>
      <c r="BB14" s="20">
        <v>364.4</v>
      </c>
      <c r="BC14" s="20">
        <v>372</v>
      </c>
      <c r="BD14" s="20">
        <v>391.16</v>
      </c>
      <c r="BE14" s="23">
        <v>5709.7199999999993</v>
      </c>
      <c r="BF14" s="20">
        <v>264.95499999999998</v>
      </c>
      <c r="BG14" s="20">
        <v>276.4375</v>
      </c>
      <c r="BH14" s="20">
        <v>280.42250000000001</v>
      </c>
      <c r="BI14" s="20">
        <v>374.9975</v>
      </c>
      <c r="BJ14" s="20">
        <v>380.69749999999999</v>
      </c>
      <c r="BK14" s="20">
        <v>326.59750000000003</v>
      </c>
      <c r="BL14" s="20">
        <v>473.745</v>
      </c>
      <c r="BM14" s="20">
        <v>479.83</v>
      </c>
      <c r="BN14" s="20">
        <v>457.6225</v>
      </c>
      <c r="BO14" s="20">
        <v>490.91750000000002</v>
      </c>
      <c r="BP14" s="20">
        <v>485.755</v>
      </c>
      <c r="BQ14" s="20">
        <v>512.27250000000004</v>
      </c>
      <c r="BR14" s="20">
        <v>493.65750000000003</v>
      </c>
      <c r="BS14" s="20">
        <v>485.59249999999997</v>
      </c>
      <c r="BT14" s="20">
        <v>498.75</v>
      </c>
      <c r="BU14" s="20">
        <v>494.315</v>
      </c>
      <c r="BV14" s="23">
        <v>6776.5649999999996</v>
      </c>
      <c r="BW14" s="19">
        <v>0.33299999999999996</v>
      </c>
      <c r="BX14" s="19">
        <v>0.52100000000000002</v>
      </c>
      <c r="BY14" s="25">
        <v>0.57999999999999996</v>
      </c>
      <c r="BZ14" s="25">
        <v>0.73</v>
      </c>
      <c r="CA14" s="19">
        <v>1.56</v>
      </c>
      <c r="CB14" s="19">
        <v>2.19</v>
      </c>
      <c r="CC14" s="20">
        <v>27</v>
      </c>
      <c r="CD14" s="20">
        <v>19</v>
      </c>
      <c r="CE14" s="13">
        <v>6.1349999999999998</v>
      </c>
      <c r="CF14" s="13">
        <v>9.1</v>
      </c>
      <c r="CG14" s="13">
        <v>12.015000000000001</v>
      </c>
      <c r="CH14" s="13">
        <v>10.435</v>
      </c>
      <c r="CI14" s="13">
        <v>8.5249999999999986</v>
      </c>
      <c r="CJ14" s="13">
        <v>7.68</v>
      </c>
      <c r="CK14" s="13">
        <v>7.2750000000000004</v>
      </c>
      <c r="CL14" s="13">
        <v>8.4350000000000005</v>
      </c>
      <c r="CM14" s="13">
        <v>7.335</v>
      </c>
      <c r="CN14" s="13">
        <v>5.22</v>
      </c>
      <c r="CO14" s="13">
        <v>8.5749999999999993</v>
      </c>
      <c r="CP14" s="13">
        <v>9.24</v>
      </c>
      <c r="CQ14" s="13">
        <v>8.625</v>
      </c>
      <c r="CR14" s="13">
        <v>7.4050000000000002</v>
      </c>
      <c r="CS14" s="13">
        <v>7.1050000000000004</v>
      </c>
      <c r="CT14" s="13">
        <v>6.6950000000000003</v>
      </c>
      <c r="CU14" s="13">
        <v>7.2649999999999997</v>
      </c>
      <c r="CV14" s="13">
        <v>6.98</v>
      </c>
      <c r="CW14" s="14">
        <v>28.3688922397012</v>
      </c>
      <c r="CX14" s="14">
        <v>251.76250594551351</v>
      </c>
      <c r="CY14" s="14">
        <v>713.68431350606397</v>
      </c>
      <c r="CZ14" s="14">
        <v>246.190612644749</v>
      </c>
      <c r="DA14" s="14">
        <v>119.5603626002825</v>
      </c>
      <c r="DB14" s="14">
        <v>77.83337895508339</v>
      </c>
      <c r="DC14" s="14">
        <v>66.960283009273851</v>
      </c>
      <c r="DD14" s="14">
        <v>120.447379569166</v>
      </c>
      <c r="DE14" s="14">
        <v>68.811977459597699</v>
      </c>
      <c r="DF14" s="14">
        <v>20.002891820209399</v>
      </c>
      <c r="DG14" s="14">
        <v>280.605030171875</v>
      </c>
      <c r="DH14" s="14">
        <v>290.66108829013046</v>
      </c>
      <c r="DI14" s="14">
        <v>278.84638143158247</v>
      </c>
      <c r="DJ14" s="14">
        <v>137.62763061606401</v>
      </c>
      <c r="DK14" s="14">
        <v>94.226862971305948</v>
      </c>
      <c r="DL14" s="14">
        <v>85.912083820104698</v>
      </c>
      <c r="DM14" s="14">
        <v>133.97509515092202</v>
      </c>
      <c r="DN14" s="14">
        <v>136.9310529581735</v>
      </c>
      <c r="DO14" s="13">
        <v>8.7750000000000021</v>
      </c>
      <c r="DP14" s="13">
        <v>7.6262500000000006</v>
      </c>
      <c r="DQ14" s="13">
        <v>205.62865888497271</v>
      </c>
      <c r="DR14" s="13">
        <v>172.54014310514702</v>
      </c>
      <c r="DS14" s="13">
        <v>373.23360647444059</v>
      </c>
      <c r="DT14" s="13">
        <v>418.48407131604785</v>
      </c>
      <c r="DU14" s="19">
        <v>45.250464841607254</v>
      </c>
      <c r="DV14" s="13">
        <v>0.46437538747136897</v>
      </c>
      <c r="DW14" s="13">
        <v>0.405654946402144</v>
      </c>
      <c r="DX14" s="13">
        <v>0.27606500749075102</v>
      </c>
      <c r="DY14" s="13">
        <v>0.18089739610269651</v>
      </c>
      <c r="DZ14" s="13">
        <v>0.1201521122379815</v>
      </c>
      <c r="EA14" s="13">
        <v>7.35807279416993E-2</v>
      </c>
      <c r="EB14" s="13">
        <v>3.1059029236398451E-2</v>
      </c>
      <c r="EC14" s="13">
        <v>0.40767978919763448</v>
      </c>
      <c r="ED14" s="13">
        <v>0.13635085460190549</v>
      </c>
      <c r="EE14" s="13">
        <v>9.7878841487585203E-2</v>
      </c>
      <c r="EF14" s="13">
        <v>4.3208086009341548E-2</v>
      </c>
      <c r="EG14" s="13">
        <v>4.5232928804831998E-2</v>
      </c>
      <c r="EH14" s="13">
        <v>2.4984500849926899E-2</v>
      </c>
      <c r="EI14" s="13">
        <v>2.4984500849926899E-2</v>
      </c>
      <c r="EJ14" s="20">
        <v>296.48886292997059</v>
      </c>
      <c r="EK14" s="20">
        <v>1412.1681745724484</v>
      </c>
      <c r="EL14" s="20">
        <v>3452.9481254060033</v>
      </c>
      <c r="EM14" s="20">
        <v>2893.1232750800777</v>
      </c>
      <c r="EN14" s="20">
        <v>1777.4439634376004</v>
      </c>
      <c r="EO14" s="20">
        <v>1634.5099590990633</v>
      </c>
      <c r="EP14" s="20">
        <v>1523.3390668357542</v>
      </c>
      <c r="EQ14" s="20">
        <v>320.31119698639367</v>
      </c>
      <c r="ER14" s="20">
        <v>1698.0361832495225</v>
      </c>
      <c r="ES14" s="20">
        <v>1924.3483567855405</v>
      </c>
      <c r="ET14" s="20">
        <v>2158.6013083403677</v>
      </c>
      <c r="EU14" s="20">
        <v>1975.9634139077903</v>
      </c>
      <c r="EV14" s="20">
        <v>1364.5235064596015</v>
      </c>
      <c r="EW14" s="20">
        <v>1380.4050624972174</v>
      </c>
      <c r="EX14" s="20">
        <v>2511.5102976363814</v>
      </c>
      <c r="EY14" s="20">
        <v>2607.2557770210901</v>
      </c>
      <c r="EZ14" s="20">
        <v>3602.4588375074472</v>
      </c>
      <c r="FA14" s="20" t="s">
        <v>59</v>
      </c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19"/>
    </row>
    <row r="15" spans="1:207" s="21" customFormat="1" x14ac:dyDescent="0.25">
      <c r="A15" s="18">
        <v>3</v>
      </c>
      <c r="B15" s="24">
        <v>181.55</v>
      </c>
      <c r="C15" s="25">
        <v>108.19999999999999</v>
      </c>
      <c r="D15" s="24">
        <v>109.2</v>
      </c>
      <c r="E15" s="25">
        <v>108.6</v>
      </c>
      <c r="F15" s="34">
        <v>32.827269023793015</v>
      </c>
      <c r="G15" s="34">
        <v>33.258775199918134</v>
      </c>
      <c r="H15" s="34">
        <v>32.930485745890657</v>
      </c>
      <c r="I15" s="20">
        <v>114.25</v>
      </c>
      <c r="J15" s="20">
        <f>AVERAGE(112.1,112.7)</f>
        <v>112.4</v>
      </c>
      <c r="K15" s="20">
        <f>AVERAGE(110.6,110.8)</f>
        <v>110.69999999999999</v>
      </c>
      <c r="L15" s="20">
        <v>121.85</v>
      </c>
      <c r="M15" s="20">
        <f>AVERAGE(119,119.4)</f>
        <v>119.2</v>
      </c>
      <c r="N15" s="20">
        <f>AVERAGE(118,118.3)</f>
        <v>118.15</v>
      </c>
      <c r="O15" s="19">
        <v>27.162861824035645</v>
      </c>
      <c r="P15" s="19">
        <v>31.202937001767367</v>
      </c>
      <c r="Q15" s="19">
        <v>30.372151084568191</v>
      </c>
      <c r="R15" s="20">
        <v>200</v>
      </c>
      <c r="S15" s="20">
        <f>200+((7/180)*25)</f>
        <v>200.97222222222223</v>
      </c>
      <c r="T15" s="20">
        <f>225+((4/180)*25)</f>
        <v>225.55555555555554</v>
      </c>
      <c r="U15" s="19">
        <v>0.35530664517198263</v>
      </c>
      <c r="V15" s="19">
        <v>0.45454141900274481</v>
      </c>
      <c r="W15" s="19">
        <v>0.36425566902756712</v>
      </c>
      <c r="X15" s="20">
        <v>5.07</v>
      </c>
      <c r="Y15" s="20">
        <v>30.322500000000002</v>
      </c>
      <c r="Z15" s="20">
        <v>37.732500000000002</v>
      </c>
      <c r="AA15" s="20">
        <v>65.52</v>
      </c>
      <c r="AB15" s="20">
        <v>95.16</v>
      </c>
      <c r="AC15" s="20">
        <v>84.435000000000002</v>
      </c>
      <c r="AD15" s="20">
        <v>76.342500000000001</v>
      </c>
      <c r="AE15" s="20">
        <v>101.4975</v>
      </c>
      <c r="AF15" s="20">
        <v>89.602500000000006</v>
      </c>
      <c r="AG15" s="20">
        <v>97.597499999999997</v>
      </c>
      <c r="AH15" s="20">
        <v>174.72</v>
      </c>
      <c r="AI15" s="20">
        <v>158.82749999999999</v>
      </c>
      <c r="AJ15" s="20">
        <v>142.44749999999999</v>
      </c>
      <c r="AK15" s="20">
        <v>141.08250000000001</v>
      </c>
      <c r="AL15" s="20">
        <v>149.85749999999999</v>
      </c>
      <c r="AM15" s="20">
        <v>146.73750000000001</v>
      </c>
      <c r="AN15" s="20">
        <v>1596.9525000000001</v>
      </c>
      <c r="AO15" s="20">
        <v>295.8</v>
      </c>
      <c r="AP15" s="20">
        <v>255.28</v>
      </c>
      <c r="AQ15" s="20">
        <v>260.04000000000002</v>
      </c>
      <c r="AR15" s="20">
        <v>324.48</v>
      </c>
      <c r="AS15" s="20">
        <v>287.32</v>
      </c>
      <c r="AT15" s="20">
        <v>292.44</v>
      </c>
      <c r="AU15" s="20">
        <v>397.32</v>
      </c>
      <c r="AV15" s="20">
        <v>375.28</v>
      </c>
      <c r="AW15" s="20">
        <v>391.08</v>
      </c>
      <c r="AX15" s="20">
        <v>365.48</v>
      </c>
      <c r="AY15" s="20">
        <v>314.8</v>
      </c>
      <c r="AZ15" s="20">
        <v>311.72000000000003</v>
      </c>
      <c r="BA15" s="20">
        <v>344.92</v>
      </c>
      <c r="BB15" s="20">
        <v>325.2</v>
      </c>
      <c r="BC15" s="20">
        <v>339.6</v>
      </c>
      <c r="BD15" s="20">
        <v>341.68</v>
      </c>
      <c r="BE15" s="23">
        <v>5222.4400000000005</v>
      </c>
      <c r="BF15" s="20">
        <v>300.87</v>
      </c>
      <c r="BG15" s="20">
        <v>285.60250000000002</v>
      </c>
      <c r="BH15" s="20">
        <v>297.77249999999998</v>
      </c>
      <c r="BI15" s="20">
        <v>390</v>
      </c>
      <c r="BJ15" s="20">
        <v>382.48</v>
      </c>
      <c r="BK15" s="20">
        <v>376.875</v>
      </c>
      <c r="BL15" s="20">
        <v>473.66250000000002</v>
      </c>
      <c r="BM15" s="20">
        <v>476.77749999999997</v>
      </c>
      <c r="BN15" s="20">
        <v>480.6825</v>
      </c>
      <c r="BO15" s="20">
        <v>463.07749999999999</v>
      </c>
      <c r="BP15" s="20">
        <v>489.52</v>
      </c>
      <c r="BQ15" s="20">
        <v>470.54750000000001</v>
      </c>
      <c r="BR15" s="20">
        <v>487.36750000000001</v>
      </c>
      <c r="BS15" s="20">
        <v>466.28250000000003</v>
      </c>
      <c r="BT15" s="20">
        <v>489.45749999999998</v>
      </c>
      <c r="BU15" s="20">
        <v>488.41750000000002</v>
      </c>
      <c r="BV15" s="23">
        <v>6819.3924999999999</v>
      </c>
      <c r="BW15" s="19">
        <v>0.83899999999999997</v>
      </c>
      <c r="BX15" s="19">
        <v>1.1079999999999999</v>
      </c>
      <c r="BY15" s="25">
        <v>0.46</v>
      </c>
      <c r="BZ15" s="25">
        <v>0.59</v>
      </c>
      <c r="CA15" s="19">
        <v>1.87</v>
      </c>
      <c r="CB15" s="19">
        <v>2.41</v>
      </c>
      <c r="CC15" s="20">
        <v>41</v>
      </c>
      <c r="CD15" s="20">
        <v>42</v>
      </c>
      <c r="CE15" s="13">
        <v>5.1050000000000004</v>
      </c>
      <c r="CF15" s="13">
        <v>5.7650000000000006</v>
      </c>
      <c r="CG15" s="13">
        <v>8.43</v>
      </c>
      <c r="CH15" s="13">
        <v>10.355</v>
      </c>
      <c r="CI15" s="13">
        <v>8.39</v>
      </c>
      <c r="CJ15" s="13">
        <v>7.5149999999999997</v>
      </c>
      <c r="CK15" s="13">
        <v>6.6899999999999995</v>
      </c>
      <c r="CL15" s="13">
        <v>6.4350000000000005</v>
      </c>
      <c r="CM15" s="13">
        <v>7.1349999999999998</v>
      </c>
      <c r="CN15" s="13">
        <v>5.5500000000000007</v>
      </c>
      <c r="CO15" s="13">
        <v>7.5</v>
      </c>
      <c r="CP15" s="13">
        <v>9.0650000000000013</v>
      </c>
      <c r="CQ15" s="13">
        <v>10.114999999999998</v>
      </c>
      <c r="CR15" s="13">
        <v>9.875</v>
      </c>
      <c r="CS15" s="13">
        <v>8.9400000000000013</v>
      </c>
      <c r="CT15" s="13">
        <v>7.5</v>
      </c>
      <c r="CU15" s="13">
        <v>7.3599999999999994</v>
      </c>
      <c r="CV15" s="13">
        <v>7.4499999999999993</v>
      </c>
      <c r="CW15" s="14">
        <v>45.757175667850802</v>
      </c>
      <c r="CX15" s="14">
        <v>109.77033827123449</v>
      </c>
      <c r="CY15" s="14">
        <v>407.56693371423898</v>
      </c>
      <c r="CZ15" s="14">
        <v>515.4193428127785</v>
      </c>
      <c r="DA15" s="14">
        <v>459.93532633939901</v>
      </c>
      <c r="DB15" s="14">
        <v>400.03320541110247</v>
      </c>
      <c r="DC15" s="14">
        <v>264.12621304908248</v>
      </c>
      <c r="DD15" s="14">
        <v>258.3277785780445</v>
      </c>
      <c r="DE15" s="14">
        <v>388.08443708972197</v>
      </c>
      <c r="DF15" s="14">
        <v>29.931769092145899</v>
      </c>
      <c r="DG15" s="14">
        <v>227.32489089689099</v>
      </c>
      <c r="DH15" s="14">
        <v>474.93069863022401</v>
      </c>
      <c r="DI15" s="14">
        <v>539.89412561563495</v>
      </c>
      <c r="DJ15" s="14">
        <v>576.29350857474901</v>
      </c>
      <c r="DK15" s="14">
        <v>578.3589682062634</v>
      </c>
      <c r="DL15" s="14">
        <v>417.08484296011648</v>
      </c>
      <c r="DM15" s="14">
        <v>351.74068569428198</v>
      </c>
      <c r="DN15" s="14">
        <v>431.34061127131702</v>
      </c>
      <c r="DO15" s="13">
        <v>7.4625000000000004</v>
      </c>
      <c r="DP15" s="13">
        <v>8.3568750000000005</v>
      </c>
      <c r="DQ15" s="13">
        <v>329.0124930693334</v>
      </c>
      <c r="DR15" s="13">
        <v>424.53298884498662</v>
      </c>
      <c r="DS15" s="13">
        <v>388.35256360341327</v>
      </c>
      <c r="DT15" s="13">
        <v>342.64557907087124</v>
      </c>
      <c r="DU15" s="19">
        <v>-45.706984532542037</v>
      </c>
      <c r="DV15" s="13">
        <v>0.42642366523772202</v>
      </c>
      <c r="DW15" s="13">
        <v>0.47267147310989849</v>
      </c>
      <c r="DX15" s="13">
        <v>0.3603553682774695</v>
      </c>
      <c r="DY15" s="13">
        <v>0.2282187743569645</v>
      </c>
      <c r="DZ15" s="13">
        <v>0.12030722265521851</v>
      </c>
      <c r="EA15" s="13">
        <v>6.3048031956333295E-2</v>
      </c>
      <c r="EB15" s="13">
        <v>5.42389256949663E-2</v>
      </c>
      <c r="EC15" s="13">
        <v>0.37797358080020349</v>
      </c>
      <c r="ED15" s="13">
        <v>0.42422138867238052</v>
      </c>
      <c r="EE15" s="13">
        <v>0.37797358080020349</v>
      </c>
      <c r="EF15" s="13">
        <v>0.2194096680955975</v>
      </c>
      <c r="EG15" s="13">
        <v>0.10929583982850985</v>
      </c>
      <c r="EH15" s="13">
        <v>7.1857138217700262E-2</v>
      </c>
      <c r="EI15" s="13">
        <v>4.9834372564282803E-2</v>
      </c>
      <c r="EJ15" s="20">
        <v>316.50172218381942</v>
      </c>
      <c r="EK15" s="20">
        <v>388.32434533923896</v>
      </c>
      <c r="EL15" s="20">
        <v>1549.4567530185445</v>
      </c>
      <c r="EM15" s="20">
        <v>2004.3333663362093</v>
      </c>
      <c r="EN15" s="20">
        <v>2012.3136577979235</v>
      </c>
      <c r="EO15" s="20">
        <v>1481.6242755939795</v>
      </c>
      <c r="EP15" s="20">
        <v>1549.4567530185445</v>
      </c>
      <c r="EQ15" s="20">
        <v>308.52143072210583</v>
      </c>
      <c r="ER15" s="20">
        <v>883.1024159654736</v>
      </c>
      <c r="ES15" s="20">
        <v>1725.0231651762383</v>
      </c>
      <c r="ET15" s="20">
        <v>2068.1756980299174</v>
      </c>
      <c r="EU15" s="20">
        <v>2096.106718145913</v>
      </c>
      <c r="EV15" s="20">
        <v>1752.9541852922368</v>
      </c>
      <c r="EW15" s="20">
        <v>2427.2888138070216</v>
      </c>
      <c r="EX15" s="20">
        <v>2647.7699999999995</v>
      </c>
      <c r="EY15" s="20">
        <v>2782.4281937671913</v>
      </c>
      <c r="EZ15" s="20">
        <v>3282.7363531873762</v>
      </c>
      <c r="FA15" s="20">
        <v>3362.697019593099</v>
      </c>
      <c r="FB15" s="19">
        <v>1.6306225283051412</v>
      </c>
      <c r="FC15" s="19">
        <v>0.91264572115635956</v>
      </c>
      <c r="FD15" s="19">
        <v>1.0996272060382912</v>
      </c>
      <c r="FE15" s="19">
        <v>1.7975078487213632</v>
      </c>
      <c r="FF15" s="19">
        <v>1.0924002895951073</v>
      </c>
      <c r="FG15" s="19">
        <v>1.1807986299653315</v>
      </c>
      <c r="FH15" s="19">
        <v>1.0917582676793884</v>
      </c>
      <c r="FI15" s="19">
        <v>1.1967636148594161</v>
      </c>
      <c r="FJ15" s="19">
        <v>1.4264103127707166</v>
      </c>
      <c r="FK15" s="19">
        <v>1.3052217939998489</v>
      </c>
      <c r="FL15" s="19">
        <v>1.8371025893149786</v>
      </c>
      <c r="FM15" s="19">
        <v>1.4087114888450449</v>
      </c>
      <c r="FN15" s="19">
        <v>1.7381845376361145</v>
      </c>
      <c r="FO15" s="19">
        <v>0.8104499023796724</v>
      </c>
      <c r="FP15" s="19">
        <v>1.9981634527089074</v>
      </c>
      <c r="FQ15" s="19">
        <v>1.3027004100098969</v>
      </c>
      <c r="FR15" s="19">
        <v>1.2219920918847673</v>
      </c>
      <c r="FS15" s="20">
        <v>27.741896455399807</v>
      </c>
      <c r="FT15" s="20">
        <v>39.214430341008971</v>
      </c>
      <c r="FU15" s="38">
        <v>545.80913123624714</v>
      </c>
      <c r="FV15" s="38">
        <v>13101.387989448313</v>
      </c>
      <c r="FW15" s="38">
        <v>317.53166404476752</v>
      </c>
      <c r="FX15" s="38">
        <v>8252.9165073486583</v>
      </c>
      <c r="FY15" s="38">
        <v>3134.6245963239398</v>
      </c>
      <c r="FZ15" s="38">
        <v>22389.72568459489</v>
      </c>
      <c r="GA15" s="20">
        <v>45.602944722980745</v>
      </c>
      <c r="GB15" s="20">
        <v>158.02994952658878</v>
      </c>
      <c r="GC15" s="20">
        <v>140.0536694063106</v>
      </c>
      <c r="GD15" s="20">
        <v>8077.6277230505048</v>
      </c>
      <c r="GE15" s="20">
        <v>73.062502706002789</v>
      </c>
      <c r="GF15" s="20">
        <v>485.24759848033966</v>
      </c>
      <c r="GG15" s="20">
        <v>71.292374750437986</v>
      </c>
      <c r="GH15" s="20">
        <v>981.58867497790322</v>
      </c>
      <c r="GI15" s="20">
        <v>57774.501010617889</v>
      </c>
      <c r="GJ15" s="20">
        <v>505.22886093244279</v>
      </c>
      <c r="GK15" s="20">
        <v>15709.580048372422</v>
      </c>
      <c r="GL15" s="20">
        <v>387.55318140262528</v>
      </c>
      <c r="GM15" s="20">
        <v>10834.659782879477</v>
      </c>
      <c r="GN15" s="20">
        <v>4049.0288943817491</v>
      </c>
      <c r="GO15" s="20">
        <v>28025.179585443126</v>
      </c>
      <c r="GP15" s="20">
        <v>38.3868690221964</v>
      </c>
      <c r="GQ15" s="20">
        <v>213.51998901160107</v>
      </c>
      <c r="GR15" s="20">
        <v>102.86318340871078</v>
      </c>
      <c r="GS15" s="20">
        <v>9191.2104530556899</v>
      </c>
      <c r="GT15" s="20">
        <v>61.477360349977289</v>
      </c>
      <c r="GU15" s="20">
        <v>528.15834849335874</v>
      </c>
      <c r="GV15" s="20">
        <v>55.352929439340507</v>
      </c>
      <c r="GW15" s="20">
        <v>1145.3920679238445</v>
      </c>
      <c r="GX15" s="20">
        <v>70847.59155411656</v>
      </c>
      <c r="GY15" s="10">
        <v>2.1467826300000001</v>
      </c>
    </row>
    <row r="16" spans="1:207" s="21" customFormat="1" x14ac:dyDescent="0.25">
      <c r="A16" s="18">
        <v>4</v>
      </c>
      <c r="B16" s="25">
        <v>178.1</v>
      </c>
      <c r="C16" s="25">
        <v>124.4</v>
      </c>
      <c r="D16" s="24">
        <v>124.5</v>
      </c>
      <c r="E16" s="25">
        <v>125.2</v>
      </c>
      <c r="F16" s="24">
        <v>39.218641086696849</v>
      </c>
      <c r="G16" s="24">
        <v>39.250167325512521</v>
      </c>
      <c r="H16" s="24">
        <v>39.470850997222229</v>
      </c>
      <c r="I16" s="20">
        <v>119.25</v>
      </c>
      <c r="J16" s="20">
        <f>AVERAGE(118.4,119.2)</f>
        <v>118.80000000000001</v>
      </c>
      <c r="K16" s="20">
        <f>AVERAGE(114.2,115.4,115.9)</f>
        <v>115.16666666666667</v>
      </c>
      <c r="L16" s="20">
        <v>123.5</v>
      </c>
      <c r="M16" s="20">
        <f>AVERAGE(124,124.2)</f>
        <v>124.1</v>
      </c>
      <c r="N16" s="20">
        <f>AVERAGE(123.4,123.9)</f>
        <v>123.65</v>
      </c>
      <c r="O16" s="19">
        <v>29.345719451904298</v>
      </c>
      <c r="P16" s="19">
        <v>30.471847271097118</v>
      </c>
      <c r="Q16" s="19">
        <v>31.210538355509438</v>
      </c>
      <c r="R16" s="20">
        <v>227.36111111111111</v>
      </c>
      <c r="S16" s="20">
        <v>250</v>
      </c>
      <c r="T16" s="20">
        <f>250+((111/180)*25)</f>
        <v>265.41666666666669</v>
      </c>
      <c r="U16" s="19">
        <v>0.31667975229024892</v>
      </c>
      <c r="V16" s="19">
        <v>0.28043625193146537</v>
      </c>
      <c r="W16" s="19">
        <v>0.23329021367643588</v>
      </c>
      <c r="X16" s="20">
        <v>10.6275</v>
      </c>
      <c r="Y16" s="20">
        <v>0</v>
      </c>
      <c r="Z16" s="20">
        <v>0</v>
      </c>
      <c r="AA16" s="20">
        <v>0</v>
      </c>
      <c r="AB16" s="20">
        <v>24.6675</v>
      </c>
      <c r="AC16" s="20">
        <v>0</v>
      </c>
      <c r="AD16" s="20">
        <v>21.84</v>
      </c>
      <c r="AE16" s="20">
        <v>12.285</v>
      </c>
      <c r="AF16" s="20">
        <v>18.817499999999999</v>
      </c>
      <c r="AG16" s="20">
        <v>17.2575</v>
      </c>
      <c r="AH16" s="20">
        <v>40.950000000000003</v>
      </c>
      <c r="AI16" s="20">
        <v>5.46</v>
      </c>
      <c r="AJ16" s="20">
        <v>23.79</v>
      </c>
      <c r="AK16" s="20">
        <v>52.064999999999998</v>
      </c>
      <c r="AL16" s="20">
        <v>26.227499999999999</v>
      </c>
      <c r="AM16" s="20">
        <v>26.13</v>
      </c>
      <c r="AN16" s="20">
        <v>280.11750000000001</v>
      </c>
      <c r="AO16" s="20">
        <v>307.44</v>
      </c>
      <c r="AP16" s="20">
        <v>334.08</v>
      </c>
      <c r="AQ16" s="20">
        <v>305.76</v>
      </c>
      <c r="AR16" s="20">
        <v>417.76</v>
      </c>
      <c r="AS16" s="20">
        <v>373.96</v>
      </c>
      <c r="AT16" s="20">
        <v>407.8</v>
      </c>
      <c r="AU16" s="20">
        <v>467.6</v>
      </c>
      <c r="AV16" s="20">
        <v>459.2</v>
      </c>
      <c r="AW16" s="20">
        <v>467.08</v>
      </c>
      <c r="AX16" s="20">
        <v>532.28</v>
      </c>
      <c r="AY16" s="20">
        <v>503.36</v>
      </c>
      <c r="AZ16" s="20">
        <v>559.6</v>
      </c>
      <c r="BA16" s="20">
        <v>560.48</v>
      </c>
      <c r="BB16" s="20">
        <v>502.4</v>
      </c>
      <c r="BC16" s="20">
        <v>545.08000000000004</v>
      </c>
      <c r="BD16" s="20">
        <v>534.52</v>
      </c>
      <c r="BE16" s="23">
        <v>7278.4</v>
      </c>
      <c r="BF16" s="20">
        <v>318.0675</v>
      </c>
      <c r="BG16" s="20">
        <v>334.08</v>
      </c>
      <c r="BH16" s="20">
        <v>305.76</v>
      </c>
      <c r="BI16" s="20">
        <v>417.76</v>
      </c>
      <c r="BJ16" s="20">
        <v>398.6275</v>
      </c>
      <c r="BK16" s="20">
        <v>407.8</v>
      </c>
      <c r="BL16" s="20">
        <v>489.44</v>
      </c>
      <c r="BM16" s="20">
        <v>471.48500000000001</v>
      </c>
      <c r="BN16" s="20">
        <v>485.89749999999998</v>
      </c>
      <c r="BO16" s="20">
        <v>549.53750000000002</v>
      </c>
      <c r="BP16" s="20">
        <v>544.30999999999995</v>
      </c>
      <c r="BQ16" s="20">
        <v>565.05999999999995</v>
      </c>
      <c r="BR16" s="20">
        <v>584.27</v>
      </c>
      <c r="BS16" s="20">
        <v>554.46500000000003</v>
      </c>
      <c r="BT16" s="20">
        <v>571.3075</v>
      </c>
      <c r="BU16" s="20">
        <v>560.65</v>
      </c>
      <c r="BV16" s="23">
        <v>7558.5175000000008</v>
      </c>
      <c r="BW16" s="19">
        <v>1.0690000000000002</v>
      </c>
      <c r="BX16" s="19">
        <v>0.72299999999999998</v>
      </c>
      <c r="BY16" s="25">
        <v>0.43</v>
      </c>
      <c r="BZ16" s="25">
        <v>0.4</v>
      </c>
      <c r="CA16" s="19">
        <v>1.72</v>
      </c>
      <c r="CB16" s="19">
        <v>1.35</v>
      </c>
      <c r="CC16" s="20">
        <v>31</v>
      </c>
      <c r="CD16" s="20">
        <v>27</v>
      </c>
      <c r="CE16" s="13">
        <v>5.6549999999999994</v>
      </c>
      <c r="CF16" s="13">
        <v>8.6549999999999994</v>
      </c>
      <c r="CG16" s="13">
        <v>8.25</v>
      </c>
      <c r="CH16" s="13">
        <v>7.32</v>
      </c>
      <c r="CI16" s="13">
        <v>8.4749999999999996</v>
      </c>
      <c r="CJ16" s="13">
        <v>8.3149999999999995</v>
      </c>
      <c r="CK16" s="13">
        <v>6.4550000000000001</v>
      </c>
      <c r="CL16" s="13">
        <v>6.6750000000000007</v>
      </c>
      <c r="CM16" s="13">
        <v>7.4950000000000001</v>
      </c>
      <c r="CN16" s="13">
        <v>5.3900000000000006</v>
      </c>
      <c r="CO16" s="13">
        <v>7.03</v>
      </c>
      <c r="CP16" s="13">
        <v>8.245000000000001</v>
      </c>
      <c r="CQ16" s="13">
        <v>9.5850000000000009</v>
      </c>
      <c r="CR16" s="13">
        <v>9.254999999999999</v>
      </c>
      <c r="CS16" s="13">
        <v>7.71</v>
      </c>
      <c r="CT16" s="13">
        <v>7.125</v>
      </c>
      <c r="CU16" s="13">
        <v>7.78</v>
      </c>
      <c r="CV16" s="13">
        <v>7.77</v>
      </c>
      <c r="CW16" s="14">
        <v>66.722065820271851</v>
      </c>
      <c r="CX16" s="14">
        <v>485.25995040298397</v>
      </c>
      <c r="CY16" s="14">
        <v>488.51769186976151</v>
      </c>
      <c r="CZ16" s="14">
        <v>255.85823401261149</v>
      </c>
      <c r="DA16" s="14">
        <v>576.04592296233204</v>
      </c>
      <c r="DB16" s="14">
        <v>428.7758840823235</v>
      </c>
      <c r="DC16" s="14">
        <v>188.5606248915455</v>
      </c>
      <c r="DD16" s="14">
        <v>224.68408712831899</v>
      </c>
      <c r="DE16" s="14">
        <v>311.3373260805015</v>
      </c>
      <c r="DF16" s="14">
        <v>59.726994919814203</v>
      </c>
      <c r="DG16" s="14">
        <v>263.82070546088949</v>
      </c>
      <c r="DH16" s="14">
        <v>333.18696238991299</v>
      </c>
      <c r="DI16" s="14">
        <v>634.85731266618996</v>
      </c>
      <c r="DJ16" s="14">
        <v>533.07461745769956</v>
      </c>
      <c r="DK16" s="14">
        <v>309.73846580798897</v>
      </c>
      <c r="DL16" s="14">
        <v>345.79159867492547</v>
      </c>
      <c r="DM16" s="14">
        <v>506.19890891401252</v>
      </c>
      <c r="DN16" s="14">
        <v>480.69162673108747</v>
      </c>
      <c r="DO16" s="13">
        <v>7.59</v>
      </c>
      <c r="DP16" s="13">
        <v>7.9137500000000012</v>
      </c>
      <c r="DQ16" s="13">
        <v>354.59151141253295</v>
      </c>
      <c r="DR16" s="13">
        <v>399.60973527463369</v>
      </c>
      <c r="DS16" s="13">
        <v>357.20501405729829</v>
      </c>
      <c r="DT16" s="13">
        <v>351.93216379161925</v>
      </c>
      <c r="DU16" s="19">
        <v>-5.2728502656790397</v>
      </c>
      <c r="DV16" s="13">
        <v>0.35451480827693449</v>
      </c>
      <c r="DW16" s="13">
        <v>0.31864151220946146</v>
      </c>
      <c r="DX16" s="13">
        <v>0.28501029714620552</v>
      </c>
      <c r="DY16" s="13">
        <v>0.1975691379817395</v>
      </c>
      <c r="DZ16" s="13">
        <v>0.1886008139648705</v>
      </c>
      <c r="EA16" s="13">
        <v>0.110127978817273</v>
      </c>
      <c r="EB16" s="13">
        <v>9.6675492791970657E-2</v>
      </c>
      <c r="EC16" s="13">
        <v>0.36348313229380302</v>
      </c>
      <c r="ED16" s="13">
        <v>0.30070486417572451</v>
      </c>
      <c r="EE16" s="13">
        <v>0.246894920074515</v>
      </c>
      <c r="EF16" s="13">
        <v>0.222232029028127</v>
      </c>
      <c r="EG16" s="13">
        <v>0.14824335588896348</v>
      </c>
      <c r="EH16" s="13">
        <v>0.11685422182992417</v>
      </c>
      <c r="EI16" s="13">
        <v>7.2012601745582799E-2</v>
      </c>
      <c r="EJ16" s="20">
        <v>631.72323492150099</v>
      </c>
      <c r="EK16" s="20">
        <v>1904.5797230647918</v>
      </c>
      <c r="EL16" s="20">
        <v>2562.9537686561489</v>
      </c>
      <c r="EM16" s="20">
        <v>2219.8012358024689</v>
      </c>
      <c r="EN16" s="20">
        <v>3189.4066484006535</v>
      </c>
      <c r="EO16" s="20">
        <v>2263.692838841896</v>
      </c>
      <c r="EP16" s="20">
        <v>1876.648702948793</v>
      </c>
      <c r="EQ16" s="20">
        <v>506.03364439951469</v>
      </c>
      <c r="ER16" s="20">
        <v>1154.4323256637276</v>
      </c>
      <c r="ES16" s="20">
        <v>1629.2596676356773</v>
      </c>
      <c r="ET16" s="20">
        <v>2560.9586957907222</v>
      </c>
      <c r="EU16" s="20">
        <v>3075.6874950712345</v>
      </c>
      <c r="EV16" s="20">
        <v>2550.983331463578</v>
      </c>
      <c r="EW16" s="20">
        <v>2379.4070650367416</v>
      </c>
      <c r="EX16" s="20">
        <v>2702.620078540237</v>
      </c>
      <c r="EY16" s="20">
        <v>2560.7823103419573</v>
      </c>
      <c r="EZ16" s="20">
        <v>3504.2742990998458</v>
      </c>
      <c r="FA16" s="20">
        <v>3884.2930406722553</v>
      </c>
      <c r="FB16" s="19">
        <v>0.80229692367357663</v>
      </c>
      <c r="FC16" s="19">
        <v>0.82307265668330576</v>
      </c>
      <c r="FD16" s="19">
        <v>0.79405087565921217</v>
      </c>
      <c r="FE16" s="19">
        <v>0.96060137865462336</v>
      </c>
      <c r="FF16" s="19">
        <v>0.90015105392701877</v>
      </c>
      <c r="FG16" s="19">
        <v>6.8676631611112544</v>
      </c>
      <c r="FH16" s="19">
        <v>0.8599266562362895</v>
      </c>
      <c r="FI16" s="19">
        <v>0.52306110145749862</v>
      </c>
      <c r="FJ16" s="19">
        <v>1.2206880884468791</v>
      </c>
      <c r="FK16" s="19">
        <v>1.2571094248634851</v>
      </c>
      <c r="FL16" s="19">
        <v>1.5824101631393295</v>
      </c>
      <c r="FM16" s="19">
        <v>1.9465060957478444</v>
      </c>
      <c r="FN16" s="19">
        <v>1.6097614493545633</v>
      </c>
      <c r="FO16" s="19">
        <v>1.2091891606227119</v>
      </c>
      <c r="FP16" s="19">
        <v>2.8062631631732029</v>
      </c>
      <c r="FQ16" s="19">
        <v>1.5259016875620428</v>
      </c>
      <c r="FR16" s="19">
        <v>1.9442766535789791</v>
      </c>
      <c r="FS16" s="20">
        <v>31.670456446005424</v>
      </c>
      <c r="FT16" s="20">
        <v>38.118419039282031</v>
      </c>
      <c r="FU16" s="38">
        <v>472.22799104300748</v>
      </c>
      <c r="FV16" s="38">
        <v>14188.808819507793</v>
      </c>
      <c r="FW16" s="38">
        <v>374.46432850741741</v>
      </c>
      <c r="FX16" s="38">
        <v>9564.8304863826343</v>
      </c>
      <c r="FY16" s="38">
        <v>3701.147040471677</v>
      </c>
      <c r="FZ16" s="38">
        <v>26282.453254898599</v>
      </c>
      <c r="GA16" s="20">
        <v>39.700329735387761</v>
      </c>
      <c r="GB16" s="20">
        <v>218.73330205589016</v>
      </c>
      <c r="GC16" s="20">
        <v>102.34257933255</v>
      </c>
      <c r="GD16" s="20">
        <v>7810.6308122148403</v>
      </c>
      <c r="GE16" s="20">
        <v>62.872352692409372</v>
      </c>
      <c r="GF16" s="20">
        <v>456.79773692838546</v>
      </c>
      <c r="GG16" s="20">
        <v>55.530646257490162</v>
      </c>
      <c r="GH16" s="20">
        <v>938.83302199460661</v>
      </c>
      <c r="GI16" s="20">
        <v>64269.37270202268</v>
      </c>
      <c r="GJ16" s="20">
        <v>424.54584294452002</v>
      </c>
      <c r="GK16" s="20">
        <v>14167.235813621101</v>
      </c>
      <c r="GL16" s="20">
        <v>897.33183547782676</v>
      </c>
      <c r="GM16" s="20">
        <v>10266.303038100899</v>
      </c>
      <c r="GN16" s="20">
        <v>4431.8874187777301</v>
      </c>
      <c r="GO16" s="20">
        <v>28257.7981200553</v>
      </c>
      <c r="GP16" s="20">
        <v>48.849513833885403</v>
      </c>
      <c r="GQ16" s="20">
        <v>234.72335659501809</v>
      </c>
      <c r="GR16" s="20">
        <v>161.44699637758939</v>
      </c>
      <c r="GS16" s="20">
        <v>9171.3781926846004</v>
      </c>
      <c r="GT16" s="20">
        <v>85.247923562519162</v>
      </c>
      <c r="GU16" s="20">
        <v>539.47095166930205</v>
      </c>
      <c r="GV16" s="20">
        <v>71.953679604878687</v>
      </c>
      <c r="GW16" s="20">
        <v>1060.8642657093101</v>
      </c>
      <c r="GX16" s="20">
        <v>69819.03694901448</v>
      </c>
      <c r="GY16" s="10">
        <v>2.8296846499999999</v>
      </c>
    </row>
    <row r="17" spans="1:207" s="21" customFormat="1" x14ac:dyDescent="0.25">
      <c r="A17" s="18">
        <v>5</v>
      </c>
      <c r="B17" s="24">
        <v>173.5</v>
      </c>
      <c r="C17" s="25">
        <v>89.9</v>
      </c>
      <c r="D17" s="24">
        <v>91.7</v>
      </c>
      <c r="E17" s="25">
        <v>92.4</v>
      </c>
      <c r="F17" s="24">
        <v>29.864877210175319</v>
      </c>
      <c r="G17" s="24">
        <v>30.392729078152396</v>
      </c>
      <c r="H17" s="24">
        <v>30.695379913461618</v>
      </c>
      <c r="I17" s="20">
        <v>103.5</v>
      </c>
      <c r="J17" s="20">
        <f>AVERAGE(102.7,102.8)</f>
        <v>102.75</v>
      </c>
      <c r="K17" s="20">
        <f>AVERAGE(102.5,102.6)</f>
        <v>102.55</v>
      </c>
      <c r="L17" s="20">
        <v>106.8</v>
      </c>
      <c r="M17" s="20">
        <f>AVERAGE(107.4,107.2)</f>
        <v>107.30000000000001</v>
      </c>
      <c r="N17" s="20">
        <f>AVERAGE(111,111.2)</f>
        <v>111.1</v>
      </c>
      <c r="O17" s="19">
        <v>37.095997986970126</v>
      </c>
      <c r="P17" s="19">
        <v>34.143581771850585</v>
      </c>
      <c r="Q17" s="19">
        <v>39.601683192782929</v>
      </c>
      <c r="R17" s="20">
        <v>194.44444444444446</v>
      </c>
      <c r="S17" s="20">
        <f>200+((37/180)*25)</f>
        <v>205.13888888888889</v>
      </c>
      <c r="T17" s="20">
        <f>225+((43/180)*25)</f>
        <v>230.97222222222223</v>
      </c>
      <c r="U17" s="19">
        <v>0.29225229571176614</v>
      </c>
      <c r="V17" s="19">
        <v>0.23734290528297408</v>
      </c>
      <c r="W17" s="19">
        <v>0.28646793256086411</v>
      </c>
      <c r="X17" s="20">
        <v>0.97499999999999998</v>
      </c>
      <c r="Y17" s="20">
        <v>0</v>
      </c>
      <c r="Z17" s="20">
        <v>2.5350000000000001</v>
      </c>
      <c r="AA17" s="20">
        <v>3.9</v>
      </c>
      <c r="AB17" s="20">
        <v>7.02</v>
      </c>
      <c r="AC17" s="20">
        <v>17.355</v>
      </c>
      <c r="AD17" s="20">
        <v>0</v>
      </c>
      <c r="AE17" s="20">
        <v>24.2775</v>
      </c>
      <c r="AF17" s="20">
        <v>30.81</v>
      </c>
      <c r="AG17" s="20">
        <v>24.4725</v>
      </c>
      <c r="AH17" s="20">
        <v>5.46</v>
      </c>
      <c r="AI17" s="20">
        <v>25.35</v>
      </c>
      <c r="AJ17" s="20">
        <v>35.49</v>
      </c>
      <c r="AK17" s="20">
        <v>86.97</v>
      </c>
      <c r="AL17" s="20">
        <v>50.505000000000003</v>
      </c>
      <c r="AM17" s="20">
        <v>85.8</v>
      </c>
      <c r="AN17" s="20">
        <v>400.92</v>
      </c>
      <c r="AO17" s="20">
        <v>289.36</v>
      </c>
      <c r="AP17" s="20">
        <v>301.60000000000002</v>
      </c>
      <c r="AQ17" s="20">
        <v>277.83999999999997</v>
      </c>
      <c r="AR17" s="20">
        <v>371.04</v>
      </c>
      <c r="AS17" s="20">
        <v>355.44</v>
      </c>
      <c r="AT17" s="20">
        <v>323.83999999999997</v>
      </c>
      <c r="AU17" s="20">
        <v>482.48</v>
      </c>
      <c r="AV17" s="20">
        <v>438.88</v>
      </c>
      <c r="AW17" s="20">
        <v>418.28</v>
      </c>
      <c r="AX17" s="20">
        <v>492.2</v>
      </c>
      <c r="AY17" s="20">
        <v>529.64</v>
      </c>
      <c r="AZ17" s="20">
        <v>481.4</v>
      </c>
      <c r="BA17" s="20">
        <v>456.16</v>
      </c>
      <c r="BB17" s="20">
        <v>419.8</v>
      </c>
      <c r="BC17" s="20">
        <v>471.6</v>
      </c>
      <c r="BD17" s="20">
        <v>418.6</v>
      </c>
      <c r="BE17" s="23">
        <v>6528.1600000000008</v>
      </c>
      <c r="BF17" s="20">
        <v>290.33499999999998</v>
      </c>
      <c r="BG17" s="20">
        <v>301.60000000000002</v>
      </c>
      <c r="BH17" s="20">
        <v>280.375</v>
      </c>
      <c r="BI17" s="20">
        <v>374.94</v>
      </c>
      <c r="BJ17" s="20">
        <v>362.46</v>
      </c>
      <c r="BK17" s="20">
        <v>341.19499999999999</v>
      </c>
      <c r="BL17" s="20">
        <v>482.48</v>
      </c>
      <c r="BM17" s="20">
        <v>463.15750000000003</v>
      </c>
      <c r="BN17" s="20">
        <v>449.09</v>
      </c>
      <c r="BO17" s="20">
        <v>516.67250000000001</v>
      </c>
      <c r="BP17" s="20">
        <v>535.1</v>
      </c>
      <c r="BQ17" s="20">
        <v>506.75</v>
      </c>
      <c r="BR17" s="20">
        <v>491.65</v>
      </c>
      <c r="BS17" s="20">
        <v>506.77</v>
      </c>
      <c r="BT17" s="20">
        <v>522.10500000000002</v>
      </c>
      <c r="BU17" s="20">
        <v>504.4</v>
      </c>
      <c r="BV17" s="23">
        <v>6929.08</v>
      </c>
      <c r="BW17" s="19">
        <v>0.88500000000000001</v>
      </c>
      <c r="BX17" s="19">
        <v>0.92499999999999993</v>
      </c>
      <c r="BY17" s="25">
        <v>0.53</v>
      </c>
      <c r="BZ17" s="25">
        <v>0.505</v>
      </c>
      <c r="CA17" s="19">
        <v>2.0299999999999998</v>
      </c>
      <c r="CB17" s="19">
        <v>1.7150000000000001</v>
      </c>
      <c r="CC17" s="20">
        <v>15</v>
      </c>
      <c r="CD17" s="20">
        <v>20</v>
      </c>
      <c r="CE17" s="13">
        <v>5.6400000000000006</v>
      </c>
      <c r="CF17" s="13">
        <v>6.8049999999999997</v>
      </c>
      <c r="CG17" s="13">
        <v>8.67</v>
      </c>
      <c r="CH17" s="13">
        <v>9.0449999999999999</v>
      </c>
      <c r="CI17" s="13">
        <v>8.1050000000000004</v>
      </c>
      <c r="CJ17" s="13">
        <v>6.98</v>
      </c>
      <c r="CK17" s="13">
        <v>6.7850000000000001</v>
      </c>
      <c r="CL17" s="13">
        <v>6.7</v>
      </c>
      <c r="CM17" s="13">
        <v>5.8900000000000006</v>
      </c>
      <c r="CN17" s="13">
        <v>5.96</v>
      </c>
      <c r="CO17" s="13">
        <v>7.84</v>
      </c>
      <c r="CP17" s="13">
        <v>9.629999999999999</v>
      </c>
      <c r="CQ17" s="13">
        <v>9.375</v>
      </c>
      <c r="CR17" s="13">
        <v>7.3450000000000006</v>
      </c>
      <c r="CS17" s="13">
        <v>6.3100000000000005</v>
      </c>
      <c r="CT17" s="13">
        <v>7.4450000000000003</v>
      </c>
      <c r="CU17" s="13">
        <v>8.02</v>
      </c>
      <c r="CV17" s="13">
        <v>5.65</v>
      </c>
      <c r="CW17" s="14">
        <v>32.107558460213099</v>
      </c>
      <c r="CX17" s="14">
        <v>123.11550465683951</v>
      </c>
      <c r="CY17" s="14">
        <v>273.053712383267</v>
      </c>
      <c r="CZ17" s="14">
        <v>300.120479065518</v>
      </c>
      <c r="DA17" s="14">
        <v>232.496286180786</v>
      </c>
      <c r="DB17" s="14">
        <v>207.767261917036</v>
      </c>
      <c r="DC17" s="14">
        <v>155.76307180918749</v>
      </c>
      <c r="DD17" s="14">
        <v>173.44587939755499</v>
      </c>
      <c r="DE17" s="14">
        <v>112.244383503997</v>
      </c>
      <c r="DF17" s="14">
        <v>73.840623058548957</v>
      </c>
      <c r="DG17" s="14">
        <v>288.95272250263952</v>
      </c>
      <c r="DH17" s="14">
        <v>507.49802608871153</v>
      </c>
      <c r="DI17" s="14">
        <v>556.67246707595245</v>
      </c>
      <c r="DJ17" s="14">
        <v>277.7737354406035</v>
      </c>
      <c r="DK17" s="14">
        <v>190.99949166391849</v>
      </c>
      <c r="DL17" s="14">
        <v>273.9932000541325</v>
      </c>
      <c r="DM17" s="14">
        <v>324.51309533983147</v>
      </c>
      <c r="DN17" s="14">
        <v>324.85092695860902</v>
      </c>
      <c r="DO17" s="13">
        <v>7.3568750000000005</v>
      </c>
      <c r="DP17" s="13">
        <v>7.7212499999999995</v>
      </c>
      <c r="DQ17" s="13">
        <v>192.24227079903676</v>
      </c>
      <c r="DR17" s="13">
        <v>327.46856414679604</v>
      </c>
      <c r="DS17" s="13">
        <v>406.71956766892822</v>
      </c>
      <c r="DT17" s="13">
        <v>386.81162850219641</v>
      </c>
      <c r="DU17" s="19">
        <v>-19.907939166731808</v>
      </c>
      <c r="DV17" s="13">
        <v>0.278284054133554</v>
      </c>
      <c r="DW17" s="13">
        <v>0.24913700107873199</v>
      </c>
      <c r="DX17" s="13">
        <v>0.17066416593113451</v>
      </c>
      <c r="DY17" s="13">
        <v>0.10788589781305585</v>
      </c>
      <c r="DZ17" s="13">
        <v>8.3223006766668203E-2</v>
      </c>
      <c r="EA17" s="13">
        <v>2.94130626654583E-2</v>
      </c>
      <c r="EB17" s="13">
        <v>3.1655143669675347E-2</v>
      </c>
      <c r="EC17" s="13">
        <v>0.30743110718837596</v>
      </c>
      <c r="ED17" s="13">
        <v>0.1729062469353515</v>
      </c>
      <c r="EE17" s="13">
        <v>0.139275031872095</v>
      </c>
      <c r="EF17" s="13">
        <v>8.5465087770885295E-2</v>
      </c>
      <c r="EG17" s="13">
        <v>8.546508777088524E-2</v>
      </c>
      <c r="EH17" s="13">
        <v>8.0980925762451098E-2</v>
      </c>
      <c r="EI17" s="13">
        <v>4.5107629694977849E-2</v>
      </c>
      <c r="EJ17" s="20">
        <v>254.33097438681713</v>
      </c>
      <c r="EK17" s="20">
        <v>458.00056191759069</v>
      </c>
      <c r="EL17" s="20">
        <v>936.6240926149045</v>
      </c>
      <c r="EM17" s="20">
        <v>1837.8620174385737</v>
      </c>
      <c r="EN17" s="20">
        <v>1909.1463730743442</v>
      </c>
      <c r="EO17" s="20">
        <v>1313.4128295468349</v>
      </c>
      <c r="EP17" s="20">
        <v>875.52321635567455</v>
      </c>
      <c r="EQ17" s="20">
        <v>340.89054908739564</v>
      </c>
      <c r="ER17" s="20">
        <v>855.15625760259786</v>
      </c>
      <c r="ES17" s="20">
        <v>2214.6507543705047</v>
      </c>
      <c r="ET17" s="20">
        <v>1944.7885508922288</v>
      </c>
      <c r="EU17" s="20">
        <v>1832.7702777503021</v>
      </c>
      <c r="EV17" s="20">
        <v>1939.6968112039606</v>
      </c>
      <c r="EW17" s="20">
        <v>2341.9442465772358</v>
      </c>
      <c r="EX17" s="20">
        <v>2377.6217898977288</v>
      </c>
      <c r="EY17" s="20">
        <v>2477.3040139258087</v>
      </c>
      <c r="EZ17" s="20">
        <v>2697.1674547502166</v>
      </c>
      <c r="FA17" s="20">
        <v>3120.3514426843385</v>
      </c>
      <c r="FB17" s="19">
        <v>1.4872384559884559</v>
      </c>
      <c r="FC17" s="19">
        <v>1.0794182256235827</v>
      </c>
      <c r="FD17" s="19">
        <v>1.112571477866509</v>
      </c>
      <c r="FE17" s="19">
        <v>1.0449331393865158</v>
      </c>
      <c r="FF17" s="19">
        <v>1.3069537269098674</v>
      </c>
      <c r="FG17" s="19">
        <v>1.6594176783160626</v>
      </c>
      <c r="FH17" s="19">
        <v>1.203654852092352</v>
      </c>
      <c r="FI17" s="19">
        <v>1.0715943812824584</v>
      </c>
      <c r="FJ17" s="19">
        <v>1.1764066218918254</v>
      </c>
      <c r="FK17" s="19">
        <v>0.44129457364341085</v>
      </c>
      <c r="FL17" s="19">
        <v>0.64</v>
      </c>
      <c r="FM17" s="19">
        <v>0.50148736756316215</v>
      </c>
      <c r="FN17" s="19">
        <v>0.79234993437866963</v>
      </c>
      <c r="FO17" s="19">
        <v>0.63291147737193831</v>
      </c>
      <c r="FP17" s="19">
        <v>0.96399790685504971</v>
      </c>
      <c r="FQ17" s="19">
        <v>0.48426767676767668</v>
      </c>
      <c r="FR17" s="19">
        <v>1.1960206995003571</v>
      </c>
      <c r="FS17" s="20">
        <v>31.400012098826053</v>
      </c>
      <c r="FT17" s="20">
        <v>21.863290382500828</v>
      </c>
      <c r="FU17" s="38">
        <v>479.53900025763596</v>
      </c>
      <c r="FV17" s="38">
        <v>12865.198489575136</v>
      </c>
      <c r="FW17" s="38">
        <v>285.52157628857435</v>
      </c>
      <c r="FX17" s="38">
        <v>7815.4635377707382</v>
      </c>
      <c r="FY17" s="38">
        <v>3933.0683354707053</v>
      </c>
      <c r="FZ17" s="38">
        <v>19829.117840132643</v>
      </c>
      <c r="GA17" s="20">
        <v>41.522979805679462</v>
      </c>
      <c r="GB17" s="20">
        <v>152.31392912298264</v>
      </c>
      <c r="GC17" s="20">
        <v>98.315081977097421</v>
      </c>
      <c r="GD17" s="20">
        <v>8131.3298250521111</v>
      </c>
      <c r="GE17" s="20">
        <v>82.800369260896403</v>
      </c>
      <c r="GF17" s="20">
        <v>477.8467344941397</v>
      </c>
      <c r="GG17" s="20">
        <v>65.314491600149992</v>
      </c>
      <c r="GH17" s="20">
        <v>918.28374512104722</v>
      </c>
      <c r="GI17" s="20">
        <v>55175.635935929546</v>
      </c>
      <c r="GJ17" s="20">
        <v>538.64136368381116</v>
      </c>
      <c r="GK17" s="20">
        <v>12778.022466410681</v>
      </c>
      <c r="GL17" s="20">
        <v>300.5574125590349</v>
      </c>
      <c r="GM17" s="20">
        <v>7968.1411003178391</v>
      </c>
      <c r="GN17" s="20">
        <v>3918.9144543705497</v>
      </c>
      <c r="GO17" s="20">
        <v>18306.457290033672</v>
      </c>
      <c r="GP17" s="20">
        <v>85.889305651145506</v>
      </c>
      <c r="GQ17" s="20">
        <v>151.31067273286928</v>
      </c>
      <c r="GR17" s="20">
        <v>131.41992271355838</v>
      </c>
      <c r="GS17" s="20">
        <v>8390.5168322571699</v>
      </c>
      <c r="GT17" s="20">
        <v>137.61828473678804</v>
      </c>
      <c r="GU17" s="20">
        <v>509.23432759687114</v>
      </c>
      <c r="GV17" s="20">
        <v>103.67766012403014</v>
      </c>
      <c r="GW17" s="20">
        <v>963.26376159793938</v>
      </c>
      <c r="GX17" s="20">
        <v>54283.664854785966</v>
      </c>
      <c r="GY17" s="10">
        <v>3.3038257899999999</v>
      </c>
    </row>
    <row r="18" spans="1:207" s="21" customFormat="1" x14ac:dyDescent="0.25">
      <c r="A18" s="18">
        <v>6</v>
      </c>
      <c r="B18" s="25">
        <v>181.2</v>
      </c>
      <c r="C18" s="25">
        <v>98.3</v>
      </c>
      <c r="D18" s="24">
        <v>100.6</v>
      </c>
      <c r="E18" s="25">
        <v>101.8</v>
      </c>
      <c r="F18" s="24">
        <v>29.938989030695538</v>
      </c>
      <c r="G18" s="24">
        <v>30.741202164351755</v>
      </c>
      <c r="H18" s="24">
        <v>31.107896424761517</v>
      </c>
      <c r="I18" s="20">
        <v>103.19999999999999</v>
      </c>
      <c r="J18" s="20">
        <f>AVERAGE(103.5,103.6)</f>
        <v>103.55</v>
      </c>
      <c r="K18" s="20">
        <f>AVERAGE(103.8,104.3)</f>
        <v>104.05</v>
      </c>
      <c r="L18" s="20">
        <v>110.25</v>
      </c>
      <c r="M18" s="20">
        <f>AVERAGE(112.5,111.7)</f>
        <v>112.1</v>
      </c>
      <c r="N18" s="20">
        <f>AVERAGE(110.7,110.9)</f>
        <v>110.80000000000001</v>
      </c>
      <c r="O18" s="19">
        <v>31.058945362384502</v>
      </c>
      <c r="P18" s="19">
        <v>30.191866361177883</v>
      </c>
      <c r="Q18" s="19">
        <v>33.446957058376739</v>
      </c>
      <c r="R18" s="20">
        <v>189.58333333333334</v>
      </c>
      <c r="S18" s="20">
        <f>200+((22/180)*25)</f>
        <v>203.05555555555554</v>
      </c>
      <c r="T18" s="20">
        <f>225+((11/180)*25)</f>
        <v>226.52777777777777</v>
      </c>
      <c r="U18" s="19">
        <v>0.17643968135267496</v>
      </c>
      <c r="V18" s="19">
        <v>0.10952224922180198</v>
      </c>
      <c r="W18" s="19">
        <v>0.23427916335397336</v>
      </c>
      <c r="X18" s="20">
        <v>29.737500000000001</v>
      </c>
      <c r="Y18" s="20">
        <v>25.642499999999998</v>
      </c>
      <c r="Z18" s="20">
        <v>5.1675000000000004</v>
      </c>
      <c r="AA18" s="20">
        <v>29.445</v>
      </c>
      <c r="AB18" s="20">
        <v>9.2624999999999993</v>
      </c>
      <c r="AC18" s="20">
        <v>14.137499999999999</v>
      </c>
      <c r="AD18" s="20">
        <v>35.002499999999998</v>
      </c>
      <c r="AE18" s="20">
        <v>62.984999999999999</v>
      </c>
      <c r="AF18" s="20">
        <v>58.792499999999997</v>
      </c>
      <c r="AG18" s="20">
        <v>28.372499999999999</v>
      </c>
      <c r="AH18" s="20">
        <v>109.98</v>
      </c>
      <c r="AI18" s="20">
        <v>133.965</v>
      </c>
      <c r="AJ18" s="20">
        <v>90.772499999999994</v>
      </c>
      <c r="AK18" s="20">
        <v>22.327500000000001</v>
      </c>
      <c r="AL18" s="20">
        <v>58.207500000000003</v>
      </c>
      <c r="AM18" s="20">
        <v>32.564999999999998</v>
      </c>
      <c r="AN18" s="20">
        <v>746.36249999999995</v>
      </c>
      <c r="AO18" s="20">
        <v>224.52</v>
      </c>
      <c r="AP18" s="20">
        <v>237.08</v>
      </c>
      <c r="AQ18" s="20">
        <v>252.4</v>
      </c>
      <c r="AR18" s="20">
        <v>316.92</v>
      </c>
      <c r="AS18" s="20">
        <v>355.8</v>
      </c>
      <c r="AT18" s="20">
        <v>341.36</v>
      </c>
      <c r="AU18" s="20">
        <v>389.96</v>
      </c>
      <c r="AV18" s="20">
        <v>394.88</v>
      </c>
      <c r="AW18" s="20">
        <v>380.56</v>
      </c>
      <c r="AX18" s="20">
        <v>454.84</v>
      </c>
      <c r="AY18" s="20">
        <v>415</v>
      </c>
      <c r="AZ18" s="20">
        <v>398.08</v>
      </c>
      <c r="BA18" s="20">
        <v>430.64</v>
      </c>
      <c r="BB18" s="20">
        <v>490.88</v>
      </c>
      <c r="BC18" s="20">
        <v>436.96</v>
      </c>
      <c r="BD18" s="20">
        <v>473.96</v>
      </c>
      <c r="BE18" s="23">
        <v>5993.8400000000011</v>
      </c>
      <c r="BF18" s="20">
        <v>254.25749999999999</v>
      </c>
      <c r="BG18" s="20">
        <v>262.72250000000003</v>
      </c>
      <c r="BH18" s="20">
        <v>257.5675</v>
      </c>
      <c r="BI18" s="20">
        <v>346.36500000000001</v>
      </c>
      <c r="BJ18" s="20">
        <v>365.0625</v>
      </c>
      <c r="BK18" s="20">
        <v>355.4975</v>
      </c>
      <c r="BL18" s="20">
        <v>424.96249999999998</v>
      </c>
      <c r="BM18" s="20">
        <v>457.86500000000001</v>
      </c>
      <c r="BN18" s="20">
        <v>439.35250000000002</v>
      </c>
      <c r="BO18" s="20">
        <v>483.21249999999998</v>
      </c>
      <c r="BP18" s="20">
        <v>524.98</v>
      </c>
      <c r="BQ18" s="20">
        <v>532.04499999999996</v>
      </c>
      <c r="BR18" s="20">
        <v>521.41250000000002</v>
      </c>
      <c r="BS18" s="20">
        <v>513.20749999999998</v>
      </c>
      <c r="BT18" s="20">
        <v>495.16750000000002</v>
      </c>
      <c r="BU18" s="20">
        <v>506.52499999999998</v>
      </c>
      <c r="BV18" s="23">
        <v>6740.2024999999994</v>
      </c>
      <c r="BW18" s="19">
        <v>0.376</v>
      </c>
      <c r="BX18" s="19">
        <v>0.504</v>
      </c>
      <c r="BY18" s="25">
        <v>0.9</v>
      </c>
      <c r="BZ18" s="25">
        <v>1.03</v>
      </c>
      <c r="CA18" s="19">
        <v>1.76</v>
      </c>
      <c r="CB18" s="19">
        <v>2.14</v>
      </c>
      <c r="CC18" s="20">
        <v>24</v>
      </c>
      <c r="CD18" s="20">
        <v>26</v>
      </c>
      <c r="CE18" s="13">
        <v>5.6</v>
      </c>
      <c r="CF18" s="13">
        <v>7.88</v>
      </c>
      <c r="CG18" s="13">
        <v>10.085000000000001</v>
      </c>
      <c r="CH18" s="13">
        <v>9.91</v>
      </c>
      <c r="CI18" s="13">
        <v>9.4550000000000001</v>
      </c>
      <c r="CJ18" s="13">
        <v>8.0150000000000006</v>
      </c>
      <c r="CK18" s="13">
        <v>7.1349999999999998</v>
      </c>
      <c r="CL18" s="13">
        <v>5.2350000000000003</v>
      </c>
      <c r="CM18" s="13">
        <v>4.2650000000000006</v>
      </c>
      <c r="CN18" s="13">
        <v>5.6850000000000005</v>
      </c>
      <c r="CO18" s="13">
        <v>8.1150000000000002</v>
      </c>
      <c r="CP18" s="13">
        <v>7.6550000000000002</v>
      </c>
      <c r="CQ18" s="13">
        <v>8.1550000000000011</v>
      </c>
      <c r="CR18" s="13">
        <v>8.3350000000000009</v>
      </c>
      <c r="CS18" s="13">
        <v>7.7850000000000001</v>
      </c>
      <c r="CT18" s="13">
        <v>7.57</v>
      </c>
      <c r="CU18" s="13">
        <v>5.9649999999999999</v>
      </c>
      <c r="CV18" s="13">
        <v>4.46</v>
      </c>
      <c r="CW18" s="14">
        <v>56.036177346969097</v>
      </c>
      <c r="CX18" s="14">
        <v>452.61717987259698</v>
      </c>
      <c r="CY18" s="14">
        <v>655.39553996278596</v>
      </c>
      <c r="CZ18" s="14">
        <v>598.37138416477001</v>
      </c>
      <c r="DA18" s="14">
        <v>591.5877794960511</v>
      </c>
      <c r="DB18" s="14">
        <v>315.4503303756095</v>
      </c>
      <c r="DC18" s="14">
        <v>366.2022477726515</v>
      </c>
      <c r="DD18" s="14">
        <v>114.77292297022549</v>
      </c>
      <c r="DE18" s="14">
        <v>42.198943636377649</v>
      </c>
      <c r="DF18" s="14">
        <v>61.939429987166903</v>
      </c>
      <c r="DG18" s="14">
        <v>446.62758263726897</v>
      </c>
      <c r="DH18" s="14">
        <v>452.52034162225851</v>
      </c>
      <c r="DI18" s="14">
        <v>527.21012190670058</v>
      </c>
      <c r="DJ18" s="14">
        <v>399.44393007025099</v>
      </c>
      <c r="DK18" s="14">
        <v>519.01021816080799</v>
      </c>
      <c r="DL18" s="14">
        <v>449.27550041379601</v>
      </c>
      <c r="DM18" s="14">
        <v>290.99473123210652</v>
      </c>
      <c r="DN18" s="14">
        <v>55.422219937058401</v>
      </c>
      <c r="DO18" s="13">
        <v>7.830937500000001</v>
      </c>
      <c r="DP18" s="13">
        <v>7.3315625000000013</v>
      </c>
      <c r="DQ18" s="13">
        <v>392.93936813829544</v>
      </c>
      <c r="DR18" s="13">
        <v>392.97040637566278</v>
      </c>
      <c r="DS18" s="13">
        <v>402.6537312682193</v>
      </c>
      <c r="DT18" s="13">
        <v>384.69147155296184</v>
      </c>
      <c r="DU18" s="19">
        <v>-17.96225971525746</v>
      </c>
      <c r="DV18" s="13">
        <v>0.28501029714620502</v>
      </c>
      <c r="DW18" s="13">
        <v>0.14600127488474601</v>
      </c>
      <c r="DX18" s="13">
        <v>6.9770520741365694E-2</v>
      </c>
      <c r="DY18" s="13">
        <v>4.2865548690760702E-2</v>
      </c>
      <c r="DZ18" s="13">
        <v>6.08021967244975E-2</v>
      </c>
      <c r="EA18" s="13">
        <v>1.1476414631721599E-2</v>
      </c>
      <c r="EB18" s="13">
        <v>4.2865548690760702E-2</v>
      </c>
      <c r="EC18" s="13">
        <v>0.23120035304499501</v>
      </c>
      <c r="ED18" s="13">
        <v>0.13254878885944399</v>
      </c>
      <c r="EE18" s="13">
        <v>5.6318034716063302E-2</v>
      </c>
      <c r="EF18" s="13">
        <v>4.2865548690760702E-2</v>
      </c>
      <c r="EG18" s="13">
        <v>6.08021967244975E-2</v>
      </c>
      <c r="EH18" s="13">
        <v>2.0444738648590002E-2</v>
      </c>
      <c r="EI18" s="13">
        <v>2.4928900657024099E-2</v>
      </c>
      <c r="EJ18" s="20">
        <v>213.59705688066276</v>
      </c>
      <c r="EK18" s="20">
        <v>1181.0275976518317</v>
      </c>
      <c r="EL18" s="20">
        <v>2693.2742850678178</v>
      </c>
      <c r="EM18" s="20">
        <v>3044.6043235584002</v>
      </c>
      <c r="EN18" s="20">
        <v>3187.1730348299402</v>
      </c>
      <c r="EO18" s="20">
        <v>1700.385045855302</v>
      </c>
      <c r="EP18" s="20">
        <v>656.57840976009265</v>
      </c>
      <c r="EQ18" s="20">
        <v>1013.0001879389463</v>
      </c>
      <c r="ER18" s="20">
        <v>1914.2381127626124</v>
      </c>
      <c r="ES18" s="20">
        <v>1878.5959349447273</v>
      </c>
      <c r="ET18" s="20">
        <v>2189.1920559291557</v>
      </c>
      <c r="EU18" s="20">
        <v>2311.3938084476194</v>
      </c>
      <c r="EV18" s="20">
        <v>2117.9077002933859</v>
      </c>
      <c r="EW18" s="20">
        <v>671.85362882490097</v>
      </c>
      <c r="EX18" s="20">
        <v>3663.7502430775758</v>
      </c>
      <c r="EY18" s="20">
        <v>3644.4618789233291</v>
      </c>
      <c r="EZ18" s="20">
        <v>3274.2816291715098</v>
      </c>
      <c r="FA18" s="20">
        <v>3748.1905272740087</v>
      </c>
      <c r="FB18" s="19">
        <v>0.57326530612244886</v>
      </c>
      <c r="FC18" s="19">
        <v>1.1355537723089644</v>
      </c>
      <c r="FD18" s="19">
        <v>0.80781974817760094</v>
      </c>
      <c r="FE18" s="19">
        <v>0.71579672695951768</v>
      </c>
      <c r="FF18" s="19">
        <v>1.3049777777777776</v>
      </c>
      <c r="FG18" s="19">
        <v>1.9995449063644843</v>
      </c>
      <c r="FH18" s="19">
        <v>1.5856166846458108</v>
      </c>
      <c r="FI18" s="19">
        <v>1.6762855370535967</v>
      </c>
      <c r="FJ18" s="19">
        <v>0.96973301030271886</v>
      </c>
      <c r="FK18" s="19">
        <v>1.1416726513024742</v>
      </c>
      <c r="FL18" s="19">
        <v>2.1921397379912664</v>
      </c>
      <c r="FM18" s="19">
        <v>1.4656018978263265</v>
      </c>
      <c r="FN18" s="19">
        <v>0.68730997800177307</v>
      </c>
      <c r="FO18" s="19">
        <v>2.1323739575079261</v>
      </c>
      <c r="FP18" s="19">
        <v>1.6729063746205581</v>
      </c>
      <c r="FQ18" s="19">
        <v>1.2307804992382514</v>
      </c>
      <c r="FR18" s="19">
        <v>1.7951380531582024</v>
      </c>
      <c r="FS18" s="20">
        <v>26.233101676399102</v>
      </c>
      <c r="FT18" s="20">
        <v>35.47091121952608</v>
      </c>
      <c r="FU18" s="38">
        <v>352.68413868084605</v>
      </c>
      <c r="FV18" s="38">
        <v>11435.094567508631</v>
      </c>
      <c r="FW18" s="38">
        <v>288.47419765730291</v>
      </c>
      <c r="FX18" s="38">
        <v>7521.5078183103815</v>
      </c>
      <c r="FY18" s="38">
        <v>3109.6671542588265</v>
      </c>
      <c r="FZ18" s="38">
        <v>19097.777170737514</v>
      </c>
      <c r="GA18" s="20">
        <v>27.757675376261346</v>
      </c>
      <c r="GB18" s="20">
        <v>119.33964597735283</v>
      </c>
      <c r="GC18" s="20">
        <v>107.19797559537085</v>
      </c>
      <c r="GD18" s="20">
        <v>8775.9997985086011</v>
      </c>
      <c r="GE18" s="20">
        <v>46.495731701919098</v>
      </c>
      <c r="GF18" s="20">
        <v>286.8535218131239</v>
      </c>
      <c r="GG18" s="20">
        <v>47.440123964743414</v>
      </c>
      <c r="GH18" s="20">
        <v>786.37812384047061</v>
      </c>
      <c r="GI18" s="20">
        <v>52002.667643931345</v>
      </c>
      <c r="GJ18" s="20">
        <v>341.05523878627281</v>
      </c>
      <c r="GK18" s="20">
        <v>12170.137318794566</v>
      </c>
      <c r="GL18" s="20">
        <v>378.19556029006208</v>
      </c>
      <c r="GM18" s="20">
        <v>8973.8641137053546</v>
      </c>
      <c r="GN18" s="20">
        <v>4041.8210052797185</v>
      </c>
      <c r="GO18" s="20">
        <v>23017.43326867701</v>
      </c>
      <c r="GP18" s="20">
        <v>27.0820768160524</v>
      </c>
      <c r="GQ18" s="20">
        <v>130.71516761645208</v>
      </c>
      <c r="GR18" s="20">
        <v>83.145968412176302</v>
      </c>
      <c r="GS18" s="20">
        <v>8280.0038101410664</v>
      </c>
      <c r="GT18" s="20">
        <v>41.54902927621837</v>
      </c>
      <c r="GU18" s="20">
        <v>331.24501639142483</v>
      </c>
      <c r="GV18" s="20">
        <v>32.411056492545001</v>
      </c>
      <c r="GW18" s="20">
        <v>896.93705747407216</v>
      </c>
      <c r="GX18" s="20">
        <v>58745.595688152993</v>
      </c>
      <c r="GY18" s="10">
        <v>1.9170121899999999</v>
      </c>
    </row>
    <row r="19" spans="1:207" s="21" customFormat="1" x14ac:dyDescent="0.25">
      <c r="A19" s="18">
        <v>7</v>
      </c>
      <c r="B19" s="25">
        <v>180.1</v>
      </c>
      <c r="C19" s="25">
        <v>93.8</v>
      </c>
      <c r="D19" s="24">
        <v>95.8</v>
      </c>
      <c r="E19" s="25">
        <v>94.8</v>
      </c>
      <c r="F19" s="24">
        <v>28.918476717697398</v>
      </c>
      <c r="G19" s="24">
        <v>29.666707853223503</v>
      </c>
      <c r="H19" s="24">
        <v>29.226776043045984</v>
      </c>
      <c r="I19" s="20">
        <v>102.80000000000001</v>
      </c>
      <c r="J19" s="20">
        <f>AVERAGE(102.6,102.2)</f>
        <v>102.4</v>
      </c>
      <c r="K19" s="20">
        <f>AVERAGE(102,102.4)</f>
        <v>102.2</v>
      </c>
      <c r="L19" s="20">
        <v>111</v>
      </c>
      <c r="M19" s="20">
        <f>AVERAGE(111.9,112.3)</f>
        <v>112.1</v>
      </c>
      <c r="N19" s="20">
        <f>AVERAGE(112.9,113.1)</f>
        <v>113</v>
      </c>
      <c r="O19" s="19">
        <v>32.966186783530496</v>
      </c>
      <c r="P19" s="19">
        <v>31.18432857679284</v>
      </c>
      <c r="Q19" s="19">
        <v>36.638775587083337</v>
      </c>
      <c r="R19" s="20">
        <v>211.80555555555554</v>
      </c>
      <c r="S19" s="20">
        <f>200+((80/180)*25)</f>
        <v>211.11111111111111</v>
      </c>
      <c r="T19" s="20">
        <f>225+((25/180)*25)</f>
        <v>228.47222222222223</v>
      </c>
      <c r="U19" s="19">
        <v>0.36621014997363055</v>
      </c>
      <c r="V19" s="19">
        <v>0.38093137893864992</v>
      </c>
      <c r="W19" s="19">
        <v>0.49809129275460018</v>
      </c>
      <c r="X19" s="20">
        <v>0</v>
      </c>
      <c r="Y19" s="20">
        <v>0</v>
      </c>
      <c r="Z19" s="20">
        <v>0</v>
      </c>
      <c r="AA19" s="20">
        <v>3.12</v>
      </c>
      <c r="AB19" s="20">
        <v>2.4375</v>
      </c>
      <c r="AC19" s="20">
        <v>52.844999999999999</v>
      </c>
      <c r="AD19" s="20">
        <v>102.6675</v>
      </c>
      <c r="AE19" s="20">
        <v>43.972499999999997</v>
      </c>
      <c r="AF19" s="20">
        <v>61.327500000000001</v>
      </c>
      <c r="AG19" s="20">
        <v>49.627499999999998</v>
      </c>
      <c r="AH19" s="20">
        <v>50.115000000000002</v>
      </c>
      <c r="AI19" s="20">
        <v>108.03</v>
      </c>
      <c r="AJ19" s="20">
        <v>79.267499999999998</v>
      </c>
      <c r="AK19" s="20">
        <v>26.032499999999999</v>
      </c>
      <c r="AL19" s="20">
        <v>52.162500000000001</v>
      </c>
      <c r="AM19" s="20">
        <v>21.7425</v>
      </c>
      <c r="AN19" s="20">
        <v>653.34750000000008</v>
      </c>
      <c r="AO19" s="20">
        <v>296.56</v>
      </c>
      <c r="AP19" s="20">
        <v>317.32</v>
      </c>
      <c r="AQ19" s="20">
        <v>318.60000000000002</v>
      </c>
      <c r="AR19" s="20">
        <v>390.8</v>
      </c>
      <c r="AS19" s="20">
        <v>361.4</v>
      </c>
      <c r="AT19" s="20">
        <v>321.64</v>
      </c>
      <c r="AU19" s="20">
        <v>365.84</v>
      </c>
      <c r="AV19" s="20">
        <v>408.2</v>
      </c>
      <c r="AW19" s="20">
        <v>399.12</v>
      </c>
      <c r="AX19" s="20">
        <v>453.64</v>
      </c>
      <c r="AY19" s="20">
        <v>443.92</v>
      </c>
      <c r="AZ19" s="20">
        <v>390.64</v>
      </c>
      <c r="BA19" s="20">
        <v>423.4</v>
      </c>
      <c r="BB19" s="20">
        <v>466.36</v>
      </c>
      <c r="BC19" s="20">
        <v>451.64</v>
      </c>
      <c r="BD19" s="20">
        <v>484.08</v>
      </c>
      <c r="BE19" s="23">
        <v>6293.1599999999989</v>
      </c>
      <c r="BF19" s="20">
        <v>296.56</v>
      </c>
      <c r="BG19" s="20">
        <v>317.32</v>
      </c>
      <c r="BH19" s="20">
        <v>318.60000000000002</v>
      </c>
      <c r="BI19" s="20">
        <v>393.92</v>
      </c>
      <c r="BJ19" s="20">
        <v>363.83749999999998</v>
      </c>
      <c r="BK19" s="20">
        <v>374.48500000000001</v>
      </c>
      <c r="BL19" s="20">
        <v>468.50749999999999</v>
      </c>
      <c r="BM19" s="20">
        <v>452.17250000000001</v>
      </c>
      <c r="BN19" s="20">
        <v>460.44749999999999</v>
      </c>
      <c r="BO19" s="20">
        <v>503.26749999999998</v>
      </c>
      <c r="BP19" s="20">
        <v>494.03500000000003</v>
      </c>
      <c r="BQ19" s="20">
        <v>498.67</v>
      </c>
      <c r="BR19" s="20">
        <v>502.66750000000002</v>
      </c>
      <c r="BS19" s="20">
        <v>492.39249999999998</v>
      </c>
      <c r="BT19" s="20">
        <v>503.80250000000001</v>
      </c>
      <c r="BU19" s="20">
        <v>505.82249999999999</v>
      </c>
      <c r="BV19" s="23">
        <v>6946.5074999999997</v>
      </c>
      <c r="BW19" s="19">
        <v>1.393</v>
      </c>
      <c r="BX19" s="19">
        <v>1.0210000000000001</v>
      </c>
      <c r="BY19" s="25">
        <v>0.9</v>
      </c>
      <c r="BZ19" s="25">
        <v>0.8</v>
      </c>
      <c r="CA19" s="19">
        <v>4.54</v>
      </c>
      <c r="CB19" s="19">
        <v>4.24</v>
      </c>
      <c r="CC19" s="20">
        <v>27</v>
      </c>
      <c r="CD19" s="20">
        <v>39</v>
      </c>
      <c r="CE19" s="13">
        <v>5.4050000000000002</v>
      </c>
      <c r="CF19" s="13">
        <f>AVERAGE(CE19,CG19)</f>
        <v>6.5924999999999994</v>
      </c>
      <c r="CG19" s="13">
        <v>7.7799999999999994</v>
      </c>
      <c r="CH19" s="13">
        <v>9.745000000000001</v>
      </c>
      <c r="CI19" s="13">
        <v>8.3550000000000004</v>
      </c>
      <c r="CJ19" s="13">
        <v>7.64</v>
      </c>
      <c r="CK19" s="13">
        <v>7.87</v>
      </c>
      <c r="CL19" s="13">
        <v>7.1449999999999996</v>
      </c>
      <c r="CM19" s="13">
        <v>7.1649999999999991</v>
      </c>
      <c r="CN19" s="13">
        <v>6.6449999999999996</v>
      </c>
      <c r="CO19" s="13">
        <v>7.14</v>
      </c>
      <c r="CP19" s="13">
        <v>9.8999999999999986</v>
      </c>
      <c r="CQ19" s="13">
        <v>10.77</v>
      </c>
      <c r="CR19" s="13">
        <v>10.029999999999999</v>
      </c>
      <c r="CS19" s="13">
        <v>7.76</v>
      </c>
      <c r="CT19" s="13">
        <v>7.1099999999999994</v>
      </c>
      <c r="CU19" s="13">
        <v>6.0449999999999999</v>
      </c>
      <c r="CV19" s="13">
        <v>7.4949999999999992</v>
      </c>
      <c r="CW19" s="14">
        <v>92.974017870572311</v>
      </c>
      <c r="CX19" s="14">
        <f>AVERAGE(CW19,CY19)</f>
        <v>309.16329746764012</v>
      </c>
      <c r="CY19" s="14">
        <v>525.35257706470793</v>
      </c>
      <c r="CZ19" s="14">
        <v>592.32203259276707</v>
      </c>
      <c r="DA19" s="14">
        <v>753.75534833841994</v>
      </c>
      <c r="DB19" s="14">
        <v>399.12607721958949</v>
      </c>
      <c r="DC19" s="14">
        <v>375.37627191752904</v>
      </c>
      <c r="DD19" s="14">
        <v>353.99669668225101</v>
      </c>
      <c r="DE19" s="14">
        <v>376.17440474089801</v>
      </c>
      <c r="DF19" s="14">
        <v>64.84835077528615</v>
      </c>
      <c r="DG19" s="14">
        <v>270.99154994339148</v>
      </c>
      <c r="DH19" s="14">
        <v>537.8337988534845</v>
      </c>
      <c r="DI19" s="14">
        <v>695.89100633299802</v>
      </c>
      <c r="DJ19" s="14">
        <v>634.8972197873735</v>
      </c>
      <c r="DK19" s="14">
        <v>414.33138702110398</v>
      </c>
      <c r="DL19" s="14">
        <v>312.94230877214648</v>
      </c>
      <c r="DM19" s="14">
        <v>200.1607067184645</v>
      </c>
      <c r="DN19" s="14">
        <v>239.9236209570125</v>
      </c>
      <c r="DO19" s="13">
        <v>7.6765625000000002</v>
      </c>
      <c r="DP19" s="13">
        <v>8.2281249999999986</v>
      </c>
      <c r="DQ19" s="13">
        <v>442.95831407357997</v>
      </c>
      <c r="DR19" s="13">
        <v>402.42924541188893</v>
      </c>
      <c r="DS19" s="13">
        <v>380.57025295998471</v>
      </c>
      <c r="DT19" s="13">
        <v>312.34020452894708</v>
      </c>
      <c r="DU19" s="19">
        <v>-68.230048431037631</v>
      </c>
      <c r="DV19" s="13">
        <v>0.343671216035357</v>
      </c>
      <c r="DW19" s="13">
        <v>0.29301604469482301</v>
      </c>
      <c r="DX19" s="13">
        <v>0.23391834479753401</v>
      </c>
      <c r="DY19" s="13">
        <v>0.157935587786733</v>
      </c>
      <c r="DZ19" s="13">
        <v>0.191705702013756</v>
      </c>
      <c r="EA19" s="13">
        <v>4.81827165489103E-2</v>
      </c>
      <c r="EB19" s="13">
        <v>4.81827165489103E-2</v>
      </c>
      <c r="EC19" s="13">
        <v>0.50830052289209104</v>
      </c>
      <c r="ED19" s="13">
        <v>0.48719420150020198</v>
      </c>
      <c r="EE19" s="13">
        <v>0.39854765165426798</v>
      </c>
      <c r="EF19" s="13">
        <v>0.28879478041644502</v>
      </c>
      <c r="EG19" s="13">
        <v>0.191705702013756</v>
      </c>
      <c r="EH19" s="13">
        <v>0.124165473559711</v>
      </c>
      <c r="EI19" s="13">
        <v>5.6625245105665897E-2</v>
      </c>
      <c r="EJ19" s="20">
        <v>860.24799729086612</v>
      </c>
      <c r="EK19" s="20">
        <v>2041.5316049693456</v>
      </c>
      <c r="EL19" s="20">
        <v>3222.8152126478253</v>
      </c>
      <c r="EM19" s="20">
        <v>3518.1361145674423</v>
      </c>
      <c r="EN19" s="20">
        <v>3803.2735371105427</v>
      </c>
      <c r="EO19" s="20">
        <v>2688.1825453795495</v>
      </c>
      <c r="EP19" s="20">
        <v>2728.9164628857029</v>
      </c>
      <c r="EQ19" s="20">
        <v>564.92709537124585</v>
      </c>
      <c r="ER19" s="20">
        <v>2558.7360461659678</v>
      </c>
      <c r="ES19" s="20">
        <v>3156.7535509794188</v>
      </c>
      <c r="ET19" s="20">
        <v>3701.4387433451425</v>
      </c>
      <c r="EU19" s="20">
        <v>3887.2872419669634</v>
      </c>
      <c r="EV19" s="20">
        <v>2734.0082025739712</v>
      </c>
      <c r="EW19" s="20">
        <v>2382.6781640833892</v>
      </c>
      <c r="EX19" s="20">
        <v>3525.5983521395997</v>
      </c>
      <c r="EY19" s="20">
        <v>3382.6366948528344</v>
      </c>
      <c r="EZ19" s="20">
        <v>3687.5993469592349</v>
      </c>
      <c r="FA19" s="20">
        <v>4117.8667066174457</v>
      </c>
      <c r="FB19" s="19">
        <v>1.0412116127352418</v>
      </c>
      <c r="FC19" s="19">
        <v>1.0412116127352418</v>
      </c>
      <c r="FD19" s="19">
        <v>1.1392580929004772</v>
      </c>
      <c r="FE19" s="19">
        <v>1.596209383999184</v>
      </c>
      <c r="FF19" s="19">
        <v>0.98579105456643656</v>
      </c>
      <c r="FG19" s="19">
        <v>2.3576570432674093</v>
      </c>
      <c r="FH19" s="19">
        <v>1.3266521082111211</v>
      </c>
      <c r="FI19" s="19">
        <v>1.0125437921900367</v>
      </c>
      <c r="FJ19" s="19">
        <v>1.2746301662345585</v>
      </c>
      <c r="FK19" s="19">
        <v>1.661502830674215</v>
      </c>
      <c r="FL19" s="19">
        <v>1.6932504894033533</v>
      </c>
      <c r="FM19" s="19">
        <v>2.057761194029851</v>
      </c>
      <c r="FN19" s="19">
        <v>1.0801671064204046</v>
      </c>
      <c r="FO19" s="19">
        <v>1.9050396756193793</v>
      </c>
      <c r="FP19" s="19">
        <v>3.2462686567164183</v>
      </c>
      <c r="FQ19" s="19">
        <v>2.7422929023007239</v>
      </c>
      <c r="FR19" s="19">
        <v>2.2560965859118896</v>
      </c>
      <c r="FS19" s="20">
        <v>23.713699073728108</v>
      </c>
      <c r="FT19" s="20">
        <v>21.977161686576355</v>
      </c>
      <c r="FU19" s="38">
        <v>439.00002763760739</v>
      </c>
      <c r="FV19" s="38">
        <v>12379.31831503108</v>
      </c>
      <c r="FW19" s="38">
        <v>446.60849126763077</v>
      </c>
      <c r="FX19" s="38">
        <v>8305.3970912981094</v>
      </c>
      <c r="FY19" s="38">
        <v>3576.3527368441628</v>
      </c>
      <c r="FZ19" s="38">
        <v>22179.342538350647</v>
      </c>
      <c r="GA19" s="20">
        <v>40.872805303585515</v>
      </c>
      <c r="GB19" s="20">
        <v>157.01342991565554</v>
      </c>
      <c r="GC19" s="20">
        <v>76.199206217194032</v>
      </c>
      <c r="GD19" s="20">
        <v>7644.8378338770653</v>
      </c>
      <c r="GE19" s="20">
        <v>49.23143001858196</v>
      </c>
      <c r="GF19" s="20">
        <v>418.50445039459089</v>
      </c>
      <c r="GG19" s="20">
        <v>49.067585981857881</v>
      </c>
      <c r="GH19" s="20">
        <v>721.41661021073355</v>
      </c>
      <c r="GI19" s="20">
        <v>56483.162552348505</v>
      </c>
      <c r="GJ19" s="20">
        <v>533.49513802577167</v>
      </c>
      <c r="GK19" s="20">
        <v>14984.663612443221</v>
      </c>
      <c r="GL19" s="20">
        <v>604.92436497136555</v>
      </c>
      <c r="GM19" s="20">
        <v>9796.7553449976622</v>
      </c>
      <c r="GN19" s="20">
        <v>4410.5323524088526</v>
      </c>
      <c r="GO19" s="20">
        <v>27328.897879384083</v>
      </c>
      <c r="GP19" s="20">
        <v>32.490510858211358</v>
      </c>
      <c r="GQ19" s="20">
        <v>173.95944563109038</v>
      </c>
      <c r="GR19" s="20">
        <v>123.56049062922816</v>
      </c>
      <c r="GS19" s="20">
        <v>7990.3966457045062</v>
      </c>
      <c r="GT19" s="20">
        <v>69.078176584772592</v>
      </c>
      <c r="GU19" s="20">
        <v>518.22974337603614</v>
      </c>
      <c r="GV19" s="20">
        <v>55.729638514686272</v>
      </c>
      <c r="GW19" s="20">
        <v>883.52009006853166</v>
      </c>
      <c r="GX19" s="20">
        <v>67506.233433598027</v>
      </c>
      <c r="GY19" s="10">
        <v>1.4134371699999999</v>
      </c>
    </row>
    <row r="20" spans="1:207" s="21" customFormat="1" x14ac:dyDescent="0.25">
      <c r="A20" s="18">
        <v>8</v>
      </c>
      <c r="B20" s="25">
        <v>167.9</v>
      </c>
      <c r="C20" s="24">
        <v>98</v>
      </c>
      <c r="D20" s="24">
        <v>99.3</v>
      </c>
      <c r="E20" s="25">
        <v>98.1</v>
      </c>
      <c r="F20" s="24">
        <v>34.763595137495336</v>
      </c>
      <c r="G20" s="24">
        <v>35.350960634765123</v>
      </c>
      <c r="H20" s="24">
        <v>34.840557392093714</v>
      </c>
      <c r="I20" s="20">
        <v>105.95</v>
      </c>
      <c r="J20" s="20">
        <f>AVERAGE(105.9,106.3)</f>
        <v>106.1</v>
      </c>
      <c r="K20" s="20">
        <f>AVERAGE(106.5,107.3)</f>
        <v>106.9</v>
      </c>
      <c r="L20" s="20">
        <v>114.8</v>
      </c>
      <c r="M20" s="20">
        <f>AVERAGE(118.4,118)</f>
        <v>118.2</v>
      </c>
      <c r="N20" s="20">
        <f>AVERAGE(116.3,116.4)</f>
        <v>116.35</v>
      </c>
      <c r="O20" s="19">
        <v>32.48367585076226</v>
      </c>
      <c r="P20" s="19">
        <v>34.103958483095525</v>
      </c>
      <c r="Q20" s="19">
        <v>35.480525221071431</v>
      </c>
      <c r="R20" s="20">
        <v>200</v>
      </c>
      <c r="S20" s="20">
        <v>200</v>
      </c>
      <c r="T20" s="20">
        <v>225</v>
      </c>
      <c r="U20" s="19">
        <v>0.21312173660901879</v>
      </c>
      <c r="V20" s="19">
        <v>0.27875865641832354</v>
      </c>
      <c r="W20" s="19">
        <v>0.49162232276249984</v>
      </c>
      <c r="X20" s="20">
        <v>1.4624999999999999</v>
      </c>
      <c r="Y20" s="20">
        <v>20.475000000000001</v>
      </c>
      <c r="Z20" s="20">
        <v>26.13</v>
      </c>
      <c r="AA20" s="20">
        <v>1.0725</v>
      </c>
      <c r="AB20" s="20">
        <v>26.715</v>
      </c>
      <c r="AC20" s="20">
        <v>21.254999999999999</v>
      </c>
      <c r="AD20" s="20">
        <v>126.55500000000001</v>
      </c>
      <c r="AE20" s="20">
        <v>56.842500000000001</v>
      </c>
      <c r="AF20" s="20">
        <v>141.66749999999999</v>
      </c>
      <c r="AG20" s="20">
        <v>103.44750000000001</v>
      </c>
      <c r="AH20" s="20">
        <v>93.21</v>
      </c>
      <c r="AI20" s="20">
        <v>67.665000000000006</v>
      </c>
      <c r="AJ20" s="20">
        <v>87.652500000000003</v>
      </c>
      <c r="AK20" s="20">
        <v>96.232500000000002</v>
      </c>
      <c r="AL20" s="20">
        <v>106.9575</v>
      </c>
      <c r="AM20" s="20">
        <v>153.75749999999999</v>
      </c>
      <c r="AN20" s="20">
        <v>1131.0974999999999</v>
      </c>
      <c r="AO20" s="20">
        <v>320.39999999999998</v>
      </c>
      <c r="AP20" s="20">
        <v>306.8</v>
      </c>
      <c r="AQ20" s="20">
        <v>307.52</v>
      </c>
      <c r="AR20" s="20">
        <v>423.92</v>
      </c>
      <c r="AS20" s="20">
        <v>409.36</v>
      </c>
      <c r="AT20" s="20">
        <v>363.88</v>
      </c>
      <c r="AU20" s="20">
        <v>390.36</v>
      </c>
      <c r="AV20" s="20">
        <v>401.44</v>
      </c>
      <c r="AW20" s="20">
        <v>370.68</v>
      </c>
      <c r="AX20" s="20">
        <v>358.52</v>
      </c>
      <c r="AY20" s="20">
        <v>461.4</v>
      </c>
      <c r="AZ20" s="20">
        <v>469.6</v>
      </c>
      <c r="BA20" s="20">
        <v>494.56</v>
      </c>
      <c r="BB20" s="20">
        <v>406.04</v>
      </c>
      <c r="BC20" s="20">
        <v>444</v>
      </c>
      <c r="BD20" s="20">
        <v>378.4</v>
      </c>
      <c r="BE20" s="23">
        <v>6306.88</v>
      </c>
      <c r="BF20" s="20">
        <v>321.86250000000001</v>
      </c>
      <c r="BG20" s="20">
        <v>327.27499999999998</v>
      </c>
      <c r="BH20" s="20">
        <v>333.65</v>
      </c>
      <c r="BI20" s="20">
        <v>424.99250000000001</v>
      </c>
      <c r="BJ20" s="20">
        <v>436.07499999999999</v>
      </c>
      <c r="BK20" s="20">
        <v>385.13499999999999</v>
      </c>
      <c r="BL20" s="20">
        <v>516.91499999999996</v>
      </c>
      <c r="BM20" s="20">
        <v>458.28250000000003</v>
      </c>
      <c r="BN20" s="20">
        <v>512.34749999999997</v>
      </c>
      <c r="BO20" s="20">
        <v>461.96749999999997</v>
      </c>
      <c r="BP20" s="20">
        <v>554.61</v>
      </c>
      <c r="BQ20" s="20">
        <v>537.26499999999999</v>
      </c>
      <c r="BR20" s="20">
        <v>582.21249999999998</v>
      </c>
      <c r="BS20" s="20">
        <v>502.27249999999998</v>
      </c>
      <c r="BT20" s="20">
        <v>550.95749999999998</v>
      </c>
      <c r="BU20" s="20">
        <v>532.15750000000003</v>
      </c>
      <c r="BV20" s="23">
        <v>7437.9775</v>
      </c>
      <c r="BW20" s="19">
        <v>1.5610000000000002</v>
      </c>
      <c r="BX20" s="19">
        <v>1.405</v>
      </c>
      <c r="BY20" s="25">
        <v>0.83</v>
      </c>
      <c r="BZ20" s="25">
        <v>0.93</v>
      </c>
      <c r="CA20" s="19">
        <v>2.91</v>
      </c>
      <c r="CB20" s="19">
        <v>3.07</v>
      </c>
      <c r="CC20" s="20">
        <v>29</v>
      </c>
      <c r="CD20" s="20">
        <v>25</v>
      </c>
      <c r="CE20" s="13">
        <v>5.5449999999999999</v>
      </c>
      <c r="CF20" s="13">
        <v>7.76</v>
      </c>
      <c r="CG20" s="13">
        <v>10.5</v>
      </c>
      <c r="CH20" s="13">
        <v>11.385</v>
      </c>
      <c r="CI20" s="13">
        <v>11.52</v>
      </c>
      <c r="CJ20" s="13">
        <v>10.14</v>
      </c>
      <c r="CK20" s="13">
        <v>10.52</v>
      </c>
      <c r="CL20" s="13">
        <v>10.59</v>
      </c>
      <c r="CM20" s="13">
        <v>8.6499999999999986</v>
      </c>
      <c r="CN20" s="36">
        <v>4.67</v>
      </c>
      <c r="CO20" s="13">
        <v>10.055</v>
      </c>
      <c r="CP20" s="13">
        <v>11.07</v>
      </c>
      <c r="CQ20" s="13">
        <v>12.15</v>
      </c>
      <c r="CR20" s="13">
        <v>13.404999999999999</v>
      </c>
      <c r="CS20" s="13">
        <v>12.565</v>
      </c>
      <c r="CT20" s="13">
        <v>12.69</v>
      </c>
      <c r="CU20" s="13">
        <v>13.23</v>
      </c>
      <c r="CV20" s="13">
        <v>11.86</v>
      </c>
      <c r="CW20" s="14">
        <v>40.403532903310705</v>
      </c>
      <c r="CX20" s="14">
        <v>208.6017754565695</v>
      </c>
      <c r="CY20" s="14">
        <v>296.10045693539149</v>
      </c>
      <c r="CZ20" s="14">
        <v>401.04354047056097</v>
      </c>
      <c r="DA20" s="14">
        <v>452.31066508874449</v>
      </c>
      <c r="DB20" s="14">
        <v>296.55533683053602</v>
      </c>
      <c r="DC20" s="14">
        <v>353.33742351114347</v>
      </c>
      <c r="DD20" s="14">
        <v>413.74699005501452</v>
      </c>
      <c r="DE20" s="14">
        <v>320.72381314593849</v>
      </c>
      <c r="DF20" s="14">
        <v>84.749571436367944</v>
      </c>
      <c r="DG20" s="14">
        <v>351.32712616500152</v>
      </c>
      <c r="DH20" s="14">
        <v>362.77235044108102</v>
      </c>
      <c r="DI20" s="14">
        <v>579.57523908626854</v>
      </c>
      <c r="DJ20" s="14">
        <v>784.28103522188951</v>
      </c>
      <c r="DK20" s="14">
        <v>503.152374083773</v>
      </c>
      <c r="DL20" s="14">
        <v>670.07652335540899</v>
      </c>
      <c r="DM20" s="14">
        <v>637.17829937917554</v>
      </c>
      <c r="DN20" s="14">
        <v>529.23065723697448</v>
      </c>
      <c r="DO20" s="13">
        <v>9.9390625000000004</v>
      </c>
      <c r="DP20" s="13">
        <v>11.678750000000001</v>
      </c>
      <c r="DQ20" s="13">
        <v>325.28248267157318</v>
      </c>
      <c r="DR20" s="13">
        <v>524.41913275865875</v>
      </c>
      <c r="DS20" s="13">
        <v>380.01043981377802</v>
      </c>
      <c r="DT20" s="13">
        <v>384.08384848088025</v>
      </c>
      <c r="DU20" s="19">
        <v>4.0734086671022283</v>
      </c>
      <c r="DV20" s="13">
        <v>0.41283463849931201</v>
      </c>
      <c r="DW20" s="13">
        <v>0.53566176470590943</v>
      </c>
      <c r="DX20" s="13">
        <v>0.4190800855945625</v>
      </c>
      <c r="DY20" s="13">
        <v>0.25461664541962703</v>
      </c>
      <c r="DZ20" s="13">
        <v>0.15885312329244949</v>
      </c>
      <c r="EA20" s="13">
        <v>9.4316836641525098E-2</v>
      </c>
      <c r="EB20" s="13">
        <v>7.1416863958939147E-2</v>
      </c>
      <c r="EC20" s="13">
        <v>0.44198005827714898</v>
      </c>
      <c r="ED20" s="13">
        <v>0.44406187397556551</v>
      </c>
      <c r="EE20" s="13">
        <v>0.29833477508638201</v>
      </c>
      <c r="EF20" s="13">
        <v>0.1713440174829505</v>
      </c>
      <c r="EG20" s="13">
        <v>8.5989573847857548E-2</v>
      </c>
      <c r="EH20" s="13">
        <v>7.9744126752606753E-2</v>
      </c>
      <c r="EI20" s="13">
        <v>4.6435075577936247E-2</v>
      </c>
      <c r="EJ20" s="20">
        <v>256.16359581903265</v>
      </c>
      <c r="EK20" s="20">
        <v>754.96256036678597</v>
      </c>
      <c r="EL20" s="20">
        <v>1179.1747638606691</v>
      </c>
      <c r="EM20" s="20">
        <v>1887.7489938724295</v>
      </c>
      <c r="EN20" s="20">
        <v>2461.1347194740506</v>
      </c>
      <c r="EO20" s="20">
        <v>2041.5841885460368</v>
      </c>
      <c r="EP20" s="20">
        <v>2409.8563212495196</v>
      </c>
      <c r="EQ20" s="20">
        <v>493.90889667824291</v>
      </c>
      <c r="ER20" s="20">
        <v>1370.303339061209</v>
      </c>
      <c r="ES20" s="20">
        <v>1719.9287815012235</v>
      </c>
      <c r="ET20" s="20">
        <v>2451.8113743423178</v>
      </c>
      <c r="EU20" s="20">
        <v>3225.6490202762152</v>
      </c>
      <c r="EV20" s="20">
        <v>3500.6877016623571</v>
      </c>
      <c r="EW20" s="20">
        <v>3053.1671353391425</v>
      </c>
      <c r="EX20" s="20">
        <v>3451.3958998838425</v>
      </c>
      <c r="EY20" s="20">
        <v>3007.1756356316582</v>
      </c>
      <c r="EZ20" s="20">
        <v>3659.666856851356</v>
      </c>
      <c r="FA20" s="20">
        <v>4370.591430654008</v>
      </c>
      <c r="FB20" s="19" t="s">
        <v>59</v>
      </c>
      <c r="FC20" s="19">
        <v>0.77510253807106588</v>
      </c>
      <c r="FD20" s="19">
        <v>0.95386290322580636</v>
      </c>
      <c r="FE20" s="19">
        <v>0.63112682926829278</v>
      </c>
      <c r="FF20" s="19">
        <v>0.76231604342581416</v>
      </c>
      <c r="FG20" s="19">
        <v>0.56153501901991487</v>
      </c>
      <c r="FH20" s="19">
        <v>1.4152862190812721</v>
      </c>
      <c r="FI20" s="19">
        <v>0.86753091344236133</v>
      </c>
      <c r="FJ20" s="19">
        <v>0.62322159491884266</v>
      </c>
      <c r="FK20" s="19">
        <v>1.0411974340698504</v>
      </c>
      <c r="FL20" s="19">
        <v>1.9352505395788366</v>
      </c>
      <c r="FM20" s="19">
        <v>0.60109289617486339</v>
      </c>
      <c r="FN20" s="19">
        <v>0.43</v>
      </c>
      <c r="FO20" s="19">
        <v>1.3978904562206125</v>
      </c>
      <c r="FP20" s="19">
        <v>2.8150452714291414</v>
      </c>
      <c r="FQ20" s="19">
        <v>0.96434094825681582</v>
      </c>
      <c r="FR20" s="19">
        <v>1.47</v>
      </c>
      <c r="FS20" s="20">
        <v>23.585593856643143</v>
      </c>
      <c r="FT20" s="20">
        <v>39.669915557311057</v>
      </c>
      <c r="FU20" s="38">
        <v>512.90168827396349</v>
      </c>
      <c r="FV20" s="38">
        <v>14450.905615559548</v>
      </c>
      <c r="FW20" s="38">
        <v>481.15844562841664</v>
      </c>
      <c r="FX20" s="38">
        <v>8702.5117001710223</v>
      </c>
      <c r="FY20" s="38">
        <v>3891.323285458282</v>
      </c>
      <c r="FZ20" s="38">
        <v>21317.288602085409</v>
      </c>
      <c r="GA20" s="20">
        <v>53.906755316687764</v>
      </c>
      <c r="GB20" s="20">
        <v>128.93103353824915</v>
      </c>
      <c r="GC20" s="20">
        <v>142.64427917136447</v>
      </c>
      <c r="GD20" s="20">
        <v>10508.921734491612</v>
      </c>
      <c r="GE20" s="20">
        <v>92.997805777399705</v>
      </c>
      <c r="GF20" s="20">
        <v>329.65882691339215</v>
      </c>
      <c r="GG20" s="20">
        <v>94.771730615666016</v>
      </c>
      <c r="GH20" s="20">
        <v>863.68389093454982</v>
      </c>
      <c r="GI20" s="20">
        <v>61571.605393935562</v>
      </c>
      <c r="GJ20" s="20">
        <v>506.42635372853664</v>
      </c>
      <c r="GK20" s="20">
        <v>13987.824077826019</v>
      </c>
      <c r="GL20" s="20">
        <v>473.69518395304175</v>
      </c>
      <c r="GM20" s="20">
        <v>10097.757435518159</v>
      </c>
      <c r="GN20" s="20">
        <v>4503.3039572915113</v>
      </c>
      <c r="GO20" s="20">
        <v>22890.578348973395</v>
      </c>
      <c r="GP20" s="20">
        <v>59.86767600243963</v>
      </c>
      <c r="GQ20" s="20">
        <v>177.17710054427124</v>
      </c>
      <c r="GR20" s="20">
        <v>125.64328216378176</v>
      </c>
      <c r="GS20" s="20">
        <v>8961.7951538672878</v>
      </c>
      <c r="GT20" s="20">
        <v>68.480965160894513</v>
      </c>
      <c r="GU20" s="20">
        <v>496.19296415449304</v>
      </c>
      <c r="GV20" s="20">
        <v>69.724529252648111</v>
      </c>
      <c r="GW20" s="20">
        <v>1016.9259841004603</v>
      </c>
      <c r="GX20" s="20">
        <v>63435.393012536937</v>
      </c>
      <c r="GY20" s="10">
        <v>1.6436497699999999</v>
      </c>
    </row>
    <row r="21" spans="1:207" s="21" customFormat="1" x14ac:dyDescent="0.25">
      <c r="A21" s="18">
        <v>9</v>
      </c>
      <c r="B21" s="25">
        <v>174.6</v>
      </c>
      <c r="C21" s="25">
        <v>76.900000000000006</v>
      </c>
      <c r="D21" s="24">
        <v>77.3</v>
      </c>
      <c r="E21" s="24">
        <v>76.75</v>
      </c>
      <c r="F21" s="24">
        <v>25.225388352890395</v>
      </c>
      <c r="G21" s="24">
        <v>25.356599735740275</v>
      </c>
      <c r="H21" s="24">
        <v>25.176184084321687</v>
      </c>
      <c r="I21" s="20">
        <v>84.9</v>
      </c>
      <c r="J21" s="20">
        <f>AVERAGE(85.4,84.8)</f>
        <v>85.1</v>
      </c>
      <c r="K21" s="20">
        <f>AVERAGE(84.2,84)</f>
        <v>84.1</v>
      </c>
      <c r="L21" s="20">
        <v>98.9</v>
      </c>
      <c r="M21" s="20">
        <f>AVERAGE(99.2,99)</f>
        <v>99.1</v>
      </c>
      <c r="N21" s="20">
        <f>AVERAGE(98.9,99.2)</f>
        <v>99.050000000000011</v>
      </c>
      <c r="O21" s="19">
        <v>43.246268856909964</v>
      </c>
      <c r="P21" s="19">
        <v>46.021533966064453</v>
      </c>
      <c r="Q21" s="19">
        <v>48.021559859696971</v>
      </c>
      <c r="R21" s="20">
        <v>205.83333333333334</v>
      </c>
      <c r="S21" s="20">
        <f>225+((74/180)*25)</f>
        <v>235.27777777777777</v>
      </c>
      <c r="T21" s="20">
        <f>250+((16/180)*25)</f>
        <v>252.22222222222223</v>
      </c>
      <c r="U21" s="19">
        <v>0.26225493031963754</v>
      </c>
      <c r="V21" s="19">
        <v>0.22674482330254153</v>
      </c>
      <c r="W21" s="19">
        <v>0.43893415745383391</v>
      </c>
      <c r="X21" s="20">
        <v>5.5575000000000001</v>
      </c>
      <c r="Y21" s="20">
        <v>10.335000000000001</v>
      </c>
      <c r="Z21" s="20">
        <v>29.5425</v>
      </c>
      <c r="AA21" s="20">
        <v>12.09</v>
      </c>
      <c r="AB21" s="20">
        <v>33.54</v>
      </c>
      <c r="AC21" s="20">
        <v>99.742500000000007</v>
      </c>
      <c r="AD21" s="20">
        <v>48.847499999999997</v>
      </c>
      <c r="AE21" s="20">
        <v>22.327500000000001</v>
      </c>
      <c r="AF21" s="20">
        <v>92.722499999999997</v>
      </c>
      <c r="AG21" s="20">
        <v>97.5</v>
      </c>
      <c r="AH21" s="20">
        <v>68.834999999999994</v>
      </c>
      <c r="AI21" s="20">
        <v>47.287500000000001</v>
      </c>
      <c r="AJ21" s="20">
        <v>93.307500000000005</v>
      </c>
      <c r="AK21" s="20">
        <v>13.455</v>
      </c>
      <c r="AL21" s="20">
        <v>96.135000000000005</v>
      </c>
      <c r="AM21" s="20">
        <v>97.012500000000003</v>
      </c>
      <c r="AN21" s="20">
        <v>868.23750000000018</v>
      </c>
      <c r="AO21" s="20">
        <v>286.76</v>
      </c>
      <c r="AP21" s="20">
        <v>250.76</v>
      </c>
      <c r="AQ21" s="20">
        <v>223.72</v>
      </c>
      <c r="AR21" s="20">
        <v>366.84</v>
      </c>
      <c r="AS21" s="20">
        <v>340</v>
      </c>
      <c r="AT21" s="20">
        <v>255.8</v>
      </c>
      <c r="AU21" s="20">
        <v>399.32</v>
      </c>
      <c r="AV21" s="20">
        <v>441.84</v>
      </c>
      <c r="AW21" s="20">
        <v>356.04</v>
      </c>
      <c r="AX21" s="20">
        <v>419.44</v>
      </c>
      <c r="AY21" s="20">
        <v>419.96</v>
      </c>
      <c r="AZ21" s="20">
        <v>508.2</v>
      </c>
      <c r="BA21" s="20">
        <v>426.88</v>
      </c>
      <c r="BB21" s="20">
        <v>503.36</v>
      </c>
      <c r="BC21" s="20">
        <v>418.72</v>
      </c>
      <c r="BD21" s="20">
        <v>453</v>
      </c>
      <c r="BE21" s="23">
        <v>6070.64</v>
      </c>
      <c r="BF21" s="20">
        <v>292.3175</v>
      </c>
      <c r="BG21" s="20">
        <v>261.09500000000003</v>
      </c>
      <c r="BH21" s="20">
        <v>253.26249999999999</v>
      </c>
      <c r="BI21" s="20">
        <v>378.93</v>
      </c>
      <c r="BJ21" s="20">
        <v>373.54</v>
      </c>
      <c r="BK21" s="20">
        <v>355.54250000000002</v>
      </c>
      <c r="BL21" s="20">
        <v>448.16750000000002</v>
      </c>
      <c r="BM21" s="20">
        <v>464.16750000000002</v>
      </c>
      <c r="BN21" s="20">
        <v>448.76249999999999</v>
      </c>
      <c r="BO21" s="20">
        <v>516.94000000000005</v>
      </c>
      <c r="BP21" s="20">
        <v>488.79500000000002</v>
      </c>
      <c r="BQ21" s="20">
        <v>555.48749999999995</v>
      </c>
      <c r="BR21" s="20">
        <v>520.1875</v>
      </c>
      <c r="BS21" s="20">
        <v>516.81500000000005</v>
      </c>
      <c r="BT21" s="20">
        <v>514.85500000000002</v>
      </c>
      <c r="BU21" s="20">
        <v>550.01250000000005</v>
      </c>
      <c r="BV21" s="23">
        <v>6938.8774999999996</v>
      </c>
      <c r="BW21" s="19">
        <v>1.302</v>
      </c>
      <c r="BX21" s="19">
        <v>1.0930000000000002</v>
      </c>
      <c r="BY21" s="25">
        <v>1.31</v>
      </c>
      <c r="BZ21" s="25">
        <v>1.53</v>
      </c>
      <c r="CA21" s="19">
        <v>3.06</v>
      </c>
      <c r="CB21" s="19">
        <v>2.64</v>
      </c>
      <c r="CC21" s="20">
        <v>38</v>
      </c>
      <c r="CD21" s="20">
        <v>27</v>
      </c>
      <c r="CE21" s="13">
        <v>5.52</v>
      </c>
      <c r="CF21" s="13">
        <v>7.65</v>
      </c>
      <c r="CG21" s="13">
        <v>8.8099999999999987</v>
      </c>
      <c r="CH21" s="13">
        <v>11.155000000000001</v>
      </c>
      <c r="CI21" s="13">
        <v>10.945</v>
      </c>
      <c r="CJ21" s="13">
        <v>9.4749999999999996</v>
      </c>
      <c r="CK21" s="13">
        <v>8.4699999999999989</v>
      </c>
      <c r="CL21" s="13">
        <v>7.63</v>
      </c>
      <c r="CM21" s="13">
        <v>6.9499999999999993</v>
      </c>
      <c r="CN21" s="13">
        <v>5.43</v>
      </c>
      <c r="CO21" s="13">
        <v>7.49</v>
      </c>
      <c r="CP21" s="13">
        <v>9.7650000000000006</v>
      </c>
      <c r="CQ21" s="13">
        <v>9.93</v>
      </c>
      <c r="CR21" s="13">
        <v>8.5549999999999997</v>
      </c>
      <c r="CS21" s="13">
        <v>6.6349999999999998</v>
      </c>
      <c r="CT21" s="13">
        <v>6.24</v>
      </c>
      <c r="CU21" s="13">
        <v>6.665</v>
      </c>
      <c r="CV21" s="13">
        <v>6.48</v>
      </c>
      <c r="CW21" s="14">
        <v>14.857252793437601</v>
      </c>
      <c r="CX21" s="14">
        <v>67.012549920475237</v>
      </c>
      <c r="CY21" s="14">
        <v>102.0608662211625</v>
      </c>
      <c r="CZ21" s="14">
        <v>250.1836899783415</v>
      </c>
      <c r="DA21" s="14">
        <v>215.86548607603152</v>
      </c>
      <c r="DB21" s="14">
        <v>190.397124848321</v>
      </c>
      <c r="DC21" s="14">
        <v>140.01077483081599</v>
      </c>
      <c r="DD21" s="14">
        <v>96.7017677821745</v>
      </c>
      <c r="DE21" s="14">
        <v>69.55039493927589</v>
      </c>
      <c r="DF21" s="14">
        <v>11.4421500864921</v>
      </c>
      <c r="DG21" s="14">
        <v>73.461665353689853</v>
      </c>
      <c r="DH21" s="14">
        <v>142.44373832185101</v>
      </c>
      <c r="DI21" s="14">
        <v>142.23928850577801</v>
      </c>
      <c r="DJ21" s="14">
        <v>125.458890261774</v>
      </c>
      <c r="DK21" s="14">
        <v>87.622734077612051</v>
      </c>
      <c r="DL21" s="14">
        <v>51.662511907191153</v>
      </c>
      <c r="DM21" s="14">
        <v>55.934875877896701</v>
      </c>
      <c r="DN21" s="14">
        <v>33.1726559186488</v>
      </c>
      <c r="DO21" s="13">
        <v>8.7962499999999988</v>
      </c>
      <c r="DP21" s="13">
        <v>7.6543749999999999</v>
      </c>
      <c r="DQ21" s="13">
        <v>138.05451044045989</v>
      </c>
      <c r="DR21" s="13">
        <v>87.6413884135454</v>
      </c>
      <c r="DS21" s="13">
        <v>420.5157375145053</v>
      </c>
      <c r="DT21" s="13">
        <v>423.01126163246568</v>
      </c>
      <c r="DU21" s="19">
        <v>2.4955241179603718</v>
      </c>
      <c r="DV21" s="13">
        <v>0.41921063214966403</v>
      </c>
      <c r="DW21" s="13">
        <v>0.4091098665395585</v>
      </c>
      <c r="DX21" s="13">
        <v>0.24951776989989499</v>
      </c>
      <c r="DY21" s="13">
        <v>0.118207816968526</v>
      </c>
      <c r="DZ21" s="13">
        <v>6.9724142040020948E-2</v>
      </c>
      <c r="EA21" s="13">
        <v>3.3361385843641955E-2</v>
      </c>
      <c r="EB21" s="13">
        <v>3.3361385843641955E-2</v>
      </c>
      <c r="EC21" s="13">
        <v>0.30204175107244247</v>
      </c>
      <c r="ED21" s="13">
        <v>0.31012236356052703</v>
      </c>
      <c r="EE21" s="13">
        <v>0.14851011379884199</v>
      </c>
      <c r="EF21" s="13">
        <v>5.7603223307894649E-2</v>
      </c>
      <c r="EG21" s="13">
        <v>3.1341232721620899E-2</v>
      </c>
      <c r="EH21" s="13">
        <v>3.9421845209705098E-2</v>
      </c>
      <c r="EI21" s="13">
        <v>2.7300926477578751E-2</v>
      </c>
      <c r="EJ21" s="20">
        <v>51.050002920891373</v>
      </c>
      <c r="EK21" s="20">
        <v>335.4120294387692</v>
      </c>
      <c r="EL21" s="20">
        <v>787.59426832785266</v>
      </c>
      <c r="EM21" s="20">
        <v>1491.5068257737469</v>
      </c>
      <c r="EN21" s="20">
        <v>1705.9437638036218</v>
      </c>
      <c r="EO21" s="20">
        <v>1594.0636222228197</v>
      </c>
      <c r="EP21" s="20">
        <v>1230.4531620852038</v>
      </c>
      <c r="EQ21" s="20">
        <v>51.050002920891373</v>
      </c>
      <c r="ER21" s="20">
        <v>284.13363121423373</v>
      </c>
      <c r="ES21" s="20">
        <v>778.27092319612018</v>
      </c>
      <c r="ET21" s="20">
        <v>1393.6117018905436</v>
      </c>
      <c r="EU21" s="20">
        <v>1440.2284275492118</v>
      </c>
      <c r="EV21" s="20">
        <v>671.05245418118136</v>
      </c>
      <c r="EW21" s="20">
        <v>573.15733029797798</v>
      </c>
      <c r="EX21" s="20">
        <v>2793.5027589222655</v>
      </c>
      <c r="EY21" s="20">
        <v>2728.7796132157332</v>
      </c>
      <c r="EZ21" s="20">
        <v>3335.8437716082453</v>
      </c>
      <c r="FA21" s="20" t="s">
        <v>59</v>
      </c>
      <c r="FB21" s="19">
        <v>3.6405919661733614</v>
      </c>
      <c r="FC21" s="19">
        <v>1.404093460383762</v>
      </c>
      <c r="FD21" s="19">
        <v>2.258268487783643</v>
      </c>
      <c r="FE21" s="19">
        <v>1.939202739056004</v>
      </c>
      <c r="FF21" s="19">
        <v>1.5994124454731595</v>
      </c>
      <c r="FG21" s="19">
        <v>2.9285218598195697</v>
      </c>
      <c r="FH21" s="19">
        <v>2.2814125295508276</v>
      </c>
      <c r="FI21" s="19">
        <v>1.5108525397180577</v>
      </c>
      <c r="FJ21" s="19">
        <v>2.1153264300648931</v>
      </c>
      <c r="FK21" s="19">
        <v>1.3372685185185185</v>
      </c>
      <c r="FL21" s="19">
        <v>2.245400303527993</v>
      </c>
      <c r="FM21" s="19">
        <v>1.2030009920634921</v>
      </c>
      <c r="FN21" s="19">
        <v>0.63</v>
      </c>
      <c r="FO21" s="19">
        <v>1.9095253842277653</v>
      </c>
      <c r="FP21" s="19">
        <v>1.3640566980862612</v>
      </c>
      <c r="FQ21" s="19">
        <v>0.91490185950413228</v>
      </c>
      <c r="FR21" s="19">
        <v>1.01</v>
      </c>
      <c r="FS21" s="20">
        <v>15.984684309601839</v>
      </c>
      <c r="FT21" s="20">
        <v>40.516833381372777</v>
      </c>
      <c r="FU21" s="38">
        <v>489.46425707642879</v>
      </c>
      <c r="FV21" s="38">
        <v>12395.053544290113</v>
      </c>
      <c r="FW21" s="38">
        <v>415.05370807397139</v>
      </c>
      <c r="FX21" s="38">
        <v>8544.1318762418141</v>
      </c>
      <c r="FY21" s="38">
        <v>3563.0168450234778</v>
      </c>
      <c r="FZ21" s="38">
        <v>19846.931501599025</v>
      </c>
      <c r="GA21" s="20">
        <v>52.090334485356927</v>
      </c>
      <c r="GB21" s="20">
        <v>93.437539132661371</v>
      </c>
      <c r="GC21" s="20">
        <v>113.76001126894243</v>
      </c>
      <c r="GD21" s="20">
        <v>9574.4107302643297</v>
      </c>
      <c r="GE21" s="20">
        <v>57.90997761446792</v>
      </c>
      <c r="GF21" s="20">
        <v>419.75583790014844</v>
      </c>
      <c r="GG21" s="20">
        <v>50.826684405369868</v>
      </c>
      <c r="GH21" s="20">
        <v>1124.4496770564504</v>
      </c>
      <c r="GI21" s="20">
        <v>56740.29252443256</v>
      </c>
      <c r="GJ21" s="20">
        <v>375.22631860672465</v>
      </c>
      <c r="GK21" s="20">
        <v>13663.609176450846</v>
      </c>
      <c r="GL21" s="20">
        <v>538.68299474880064</v>
      </c>
      <c r="GM21" s="20">
        <v>10801.246362136071</v>
      </c>
      <c r="GN21" s="20">
        <v>5198.6954056290442</v>
      </c>
      <c r="GO21" s="20">
        <v>24836.798833250403</v>
      </c>
      <c r="GP21" s="20">
        <v>38.960072701034314</v>
      </c>
      <c r="GQ21" s="20">
        <v>174.09830407829659</v>
      </c>
      <c r="GR21" s="20">
        <v>149.75229910107666</v>
      </c>
      <c r="GS21" s="20">
        <v>10047.699879781978</v>
      </c>
      <c r="GT21" s="20">
        <v>59.53654260600868</v>
      </c>
      <c r="GU21" s="20">
        <v>458.10844999367328</v>
      </c>
      <c r="GV21" s="20">
        <v>49.292728434264546</v>
      </c>
      <c r="GW21" s="20">
        <v>1361.5327108570261</v>
      </c>
      <c r="GX21" s="20">
        <v>67753.240078375224</v>
      </c>
      <c r="GY21" s="10">
        <v>2.4348348999999998</v>
      </c>
    </row>
    <row r="22" spans="1:207" s="21" customFormat="1" x14ac:dyDescent="0.25">
      <c r="A22" s="18">
        <v>10</v>
      </c>
      <c r="B22" s="25">
        <v>178.8</v>
      </c>
      <c r="C22" s="25">
        <v>90.3</v>
      </c>
      <c r="D22" s="24">
        <v>90.75</v>
      </c>
      <c r="E22" s="25">
        <v>89.9</v>
      </c>
      <c r="F22" s="24">
        <v>28.245724667057036</v>
      </c>
      <c r="G22" s="24">
        <v>28.418262969296691</v>
      </c>
      <c r="H22" s="24">
        <v>28.120605177944938</v>
      </c>
      <c r="I22" s="20">
        <v>106.30000000000001</v>
      </c>
      <c r="J22" s="20">
        <f>AVERAGE(105.4,105.6)</f>
        <v>105.5</v>
      </c>
      <c r="K22" s="20">
        <f>AVERAGE(105.6,105.8)</f>
        <v>105.69999999999999</v>
      </c>
      <c r="L22" s="20">
        <v>105.30000000000001</v>
      </c>
      <c r="M22" s="20">
        <f>AVERAGE(107.2,107.2)</f>
        <v>107.2</v>
      </c>
      <c r="N22" s="20">
        <f>AVERAGE(106.2,106.2)</f>
        <v>106.2</v>
      </c>
      <c r="O22" s="19">
        <v>29.560199010939826</v>
      </c>
      <c r="P22" s="19">
        <v>31.657322883605957</v>
      </c>
      <c r="Q22" s="19">
        <v>30.059340794881184</v>
      </c>
      <c r="R22" s="20">
        <v>182.5</v>
      </c>
      <c r="S22" s="20">
        <f>175+((79/180)*25)</f>
        <v>185.97222222222223</v>
      </c>
      <c r="T22" s="20">
        <f>175+((169/180)*25)</f>
        <v>198.47222222222223</v>
      </c>
      <c r="U22" s="19">
        <v>0.21887283981442485</v>
      </c>
      <c r="V22" s="19">
        <v>0.23676089096920849</v>
      </c>
      <c r="W22" s="19">
        <v>0.27868739029765122</v>
      </c>
      <c r="X22" s="20">
        <v>1.8525</v>
      </c>
      <c r="Y22" s="20">
        <v>19.4025</v>
      </c>
      <c r="Z22" s="20">
        <v>19.2075</v>
      </c>
      <c r="AA22" s="20">
        <v>17.452500000000001</v>
      </c>
      <c r="AB22" s="20">
        <v>13.845000000000001</v>
      </c>
      <c r="AC22" s="20">
        <v>23.204999999999998</v>
      </c>
      <c r="AD22" s="20">
        <v>52.552500000000002</v>
      </c>
      <c r="AE22" s="20">
        <v>46.897500000000001</v>
      </c>
      <c r="AF22" s="20">
        <v>21.157499999999999</v>
      </c>
      <c r="AG22" s="20">
        <v>46.41</v>
      </c>
      <c r="AH22" s="20">
        <v>25.545000000000002</v>
      </c>
      <c r="AI22" s="20">
        <v>6.9225000000000003</v>
      </c>
      <c r="AJ22" s="20">
        <v>28.9575</v>
      </c>
      <c r="AK22" s="20">
        <v>57.622500000000002</v>
      </c>
      <c r="AL22" s="20">
        <v>23.107500000000002</v>
      </c>
      <c r="AM22" s="20">
        <v>46.02</v>
      </c>
      <c r="AN22" s="20">
        <v>450.15750000000003</v>
      </c>
      <c r="AO22" s="20">
        <v>265.60000000000002</v>
      </c>
      <c r="AP22" s="20">
        <v>264.92</v>
      </c>
      <c r="AQ22" s="20">
        <v>269.76</v>
      </c>
      <c r="AR22" s="20">
        <v>375.8</v>
      </c>
      <c r="AS22" s="20">
        <v>355.48</v>
      </c>
      <c r="AT22" s="20">
        <v>351.56</v>
      </c>
      <c r="AU22" s="20">
        <v>409.64</v>
      </c>
      <c r="AV22" s="20">
        <v>415.44</v>
      </c>
      <c r="AW22" s="20">
        <v>466.32</v>
      </c>
      <c r="AX22" s="20">
        <v>434.44</v>
      </c>
      <c r="AY22" s="20">
        <v>461.64</v>
      </c>
      <c r="AZ22" s="20">
        <v>472.92</v>
      </c>
      <c r="BA22" s="20">
        <v>449.68</v>
      </c>
      <c r="BB22" s="20">
        <v>413.4</v>
      </c>
      <c r="BC22" s="20">
        <v>452.36</v>
      </c>
      <c r="BD22" s="20">
        <v>407.44</v>
      </c>
      <c r="BE22" s="23">
        <v>6266.3999999999987</v>
      </c>
      <c r="BF22" s="20">
        <v>267.45249999999999</v>
      </c>
      <c r="BG22" s="20">
        <v>284.32249999999999</v>
      </c>
      <c r="BH22" s="20">
        <v>288.96749999999997</v>
      </c>
      <c r="BI22" s="20">
        <v>393.2525</v>
      </c>
      <c r="BJ22" s="20">
        <v>369.32499999999999</v>
      </c>
      <c r="BK22" s="20">
        <v>374.76499999999999</v>
      </c>
      <c r="BL22" s="20">
        <v>462.1925</v>
      </c>
      <c r="BM22" s="20">
        <v>462.33749999999998</v>
      </c>
      <c r="BN22" s="20">
        <v>487.47750000000002</v>
      </c>
      <c r="BO22" s="20">
        <v>480.85</v>
      </c>
      <c r="BP22" s="20">
        <v>487.185</v>
      </c>
      <c r="BQ22" s="20">
        <v>479.84249999999997</v>
      </c>
      <c r="BR22" s="20">
        <v>478.63749999999999</v>
      </c>
      <c r="BS22" s="20">
        <v>471.02249999999998</v>
      </c>
      <c r="BT22" s="20">
        <v>475.46749999999997</v>
      </c>
      <c r="BU22" s="20">
        <v>453.46</v>
      </c>
      <c r="BV22" s="23">
        <v>0</v>
      </c>
      <c r="BW22" s="19">
        <v>1.6539999999999999</v>
      </c>
      <c r="BX22" s="19">
        <v>1.29</v>
      </c>
      <c r="BY22" s="25">
        <v>0.83</v>
      </c>
      <c r="BZ22" s="25">
        <v>0.65</v>
      </c>
      <c r="CA22" s="19">
        <v>2.64</v>
      </c>
      <c r="CB22" s="19">
        <v>1.84</v>
      </c>
      <c r="CC22" s="20">
        <v>26</v>
      </c>
      <c r="CD22" s="20">
        <v>20</v>
      </c>
      <c r="CE22" s="13">
        <v>5.5749999999999993</v>
      </c>
      <c r="CF22" s="13">
        <v>8.1999999999999993</v>
      </c>
      <c r="CG22" s="13">
        <v>8.870000000000001</v>
      </c>
      <c r="CH22" s="13">
        <v>8.08</v>
      </c>
      <c r="CI22" s="13">
        <v>6.2750000000000004</v>
      </c>
      <c r="CJ22" s="13">
        <v>6.4499999999999993</v>
      </c>
      <c r="CK22" s="13">
        <v>6.3699999999999992</v>
      </c>
      <c r="CL22" s="13">
        <v>6.6449999999999996</v>
      </c>
      <c r="CM22" s="13">
        <v>5.21</v>
      </c>
      <c r="CN22" s="13">
        <v>5.5649999999999995</v>
      </c>
      <c r="CO22" s="13">
        <v>6.4350000000000005</v>
      </c>
      <c r="CP22" s="13">
        <v>7.9600000000000009</v>
      </c>
      <c r="CQ22" s="13">
        <v>8.5500000000000007</v>
      </c>
      <c r="CR22" s="13">
        <v>6.79</v>
      </c>
      <c r="CS22" s="13">
        <v>5.1050000000000004</v>
      </c>
      <c r="CT22" s="13">
        <v>6.59</v>
      </c>
      <c r="CU22" s="13">
        <v>6.37</v>
      </c>
      <c r="CV22" s="13">
        <v>5.2349999999999994</v>
      </c>
      <c r="CW22" s="14">
        <v>65.046050042377502</v>
      </c>
      <c r="CX22" s="14">
        <v>666.40195859167943</v>
      </c>
      <c r="CY22" s="14">
        <v>969.54361116773146</v>
      </c>
      <c r="CZ22" s="14">
        <v>539.16465647013047</v>
      </c>
      <c r="DA22" s="14">
        <v>175.04675887289198</v>
      </c>
      <c r="DB22" s="14">
        <v>164.032690093566</v>
      </c>
      <c r="DC22" s="14">
        <v>142.79485233629049</v>
      </c>
      <c r="DD22" s="14">
        <v>147.2739644806405</v>
      </c>
      <c r="DE22" s="14">
        <v>41.859329459917944</v>
      </c>
      <c r="DF22" s="14">
        <v>33.722925550926099</v>
      </c>
      <c r="DG22" s="14">
        <v>211.6531935369955</v>
      </c>
      <c r="DH22" s="14">
        <v>572.9709384820635</v>
      </c>
      <c r="DI22" s="14">
        <v>821.06382672298253</v>
      </c>
      <c r="DJ22" s="14">
        <v>333.43559493334396</v>
      </c>
      <c r="DK22" s="14">
        <v>219.0537183061885</v>
      </c>
      <c r="DL22" s="14">
        <v>241.55761496709448</v>
      </c>
      <c r="DM22" s="14">
        <v>136.56135405874198</v>
      </c>
      <c r="DN22" s="14">
        <v>48.86202125220715</v>
      </c>
      <c r="DO22" s="13">
        <v>7.0353124999999999</v>
      </c>
      <c r="DP22" s="13">
        <v>6.6500000000000012</v>
      </c>
      <c r="DQ22" s="13">
        <v>357.21389772050975</v>
      </c>
      <c r="DR22" s="13">
        <v>322.19858930112207</v>
      </c>
      <c r="DS22" s="13">
        <v>427.11796231539279</v>
      </c>
      <c r="DT22" s="13">
        <v>404.14210966829376</v>
      </c>
      <c r="DU22" s="19">
        <v>-22.975852647099032</v>
      </c>
      <c r="DV22" s="13">
        <v>0.34042466039084301</v>
      </c>
      <c r="DW22" s="13">
        <v>0.28790067921829499</v>
      </c>
      <c r="DX22" s="13">
        <v>0.17477210438511601</v>
      </c>
      <c r="DY22" s="13">
        <v>8.9925673260231501E-2</v>
      </c>
      <c r="DZ22" s="13">
        <v>8.1845060772147302E-2</v>
      </c>
      <c r="EA22" s="13">
        <v>5.3562917063852501E-2</v>
      </c>
      <c r="EB22" s="13">
        <v>5.3562917063852501E-2</v>
      </c>
      <c r="EC22" s="13">
        <v>0.28386037297425298</v>
      </c>
      <c r="ED22" s="13">
        <v>0.34446496663488502</v>
      </c>
      <c r="EE22" s="13">
        <v>0.28790067921829499</v>
      </c>
      <c r="EF22" s="13">
        <v>0.13840934818873701</v>
      </c>
      <c r="EG22" s="13">
        <v>8.1845060772147302E-2</v>
      </c>
      <c r="EH22" s="13">
        <v>5.3562917063852501E-2</v>
      </c>
      <c r="EI22" s="13">
        <v>4.5482304575768302E-2</v>
      </c>
      <c r="EJ22" s="20">
        <v>526.54060463930955</v>
      </c>
      <c r="EK22" s="20">
        <v>3039.1821176415406</v>
      </c>
      <c r="EL22" s="20">
        <v>5122.9497545840304</v>
      </c>
      <c r="EM22" s="20">
        <v>3570.6127901503501</v>
      </c>
      <c r="EN22" s="20">
        <v>2358.5779230249814</v>
      </c>
      <c r="EO22" s="20">
        <v>1831.8089230820287</v>
      </c>
      <c r="EP22" s="20">
        <v>1188.4981089924015</v>
      </c>
      <c r="EQ22" s="20">
        <v>368.04373739983578</v>
      </c>
      <c r="ER22" s="20">
        <v>1323.6866134025408</v>
      </c>
      <c r="ES22" s="20">
        <v>2913.3169583631379</v>
      </c>
      <c r="ET22" s="20">
        <v>3910.9148874586549</v>
      </c>
      <c r="EU22" s="20">
        <v>3057.8288079050089</v>
      </c>
      <c r="EV22" s="20">
        <v>2498.4281000009869</v>
      </c>
      <c r="EW22" s="20">
        <v>1155.8664010313346</v>
      </c>
      <c r="EX22" s="20">
        <v>2841.0033442177428</v>
      </c>
      <c r="EY22" s="20">
        <v>2656.6160956253498</v>
      </c>
      <c r="EZ22" s="20">
        <v>2728.6205630439872</v>
      </c>
      <c r="FA22" s="20">
        <v>3046.4107920201832</v>
      </c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51"/>
      <c r="FT22" s="51"/>
      <c r="FU22" s="38">
        <v>502.02914712586164</v>
      </c>
      <c r="FV22" s="38">
        <v>12843.040887835656</v>
      </c>
      <c r="FW22" s="38">
        <v>453.45540591943177</v>
      </c>
      <c r="FX22" s="38">
        <v>8710.7914949576771</v>
      </c>
      <c r="FY22" s="38">
        <v>3993.2752650720881</v>
      </c>
      <c r="FZ22" s="38">
        <v>21170.906126396127</v>
      </c>
      <c r="GA22" s="20">
        <v>60.168278996565277</v>
      </c>
      <c r="GB22" s="20">
        <v>135.98857370529313</v>
      </c>
      <c r="GC22" s="20">
        <v>130.60678284420564</v>
      </c>
      <c r="GD22" s="20">
        <v>8227.1601848347545</v>
      </c>
      <c r="GE22" s="20">
        <v>102.74570092444438</v>
      </c>
      <c r="GF22" s="20">
        <v>389.05093227507399</v>
      </c>
      <c r="GG22" s="20">
        <v>47.863650038242156</v>
      </c>
      <c r="GH22" s="20">
        <v>832.07913641865684</v>
      </c>
      <c r="GI22" s="20">
        <v>57599.161567344076</v>
      </c>
      <c r="GJ22" s="20">
        <v>471.3035765847988</v>
      </c>
      <c r="GK22" s="20">
        <v>14478.929335799028</v>
      </c>
      <c r="GL22" s="20">
        <v>315.64423377998128</v>
      </c>
      <c r="GM22" s="20">
        <v>9565.3813765736031</v>
      </c>
      <c r="GN22" s="20">
        <v>4349.4375964770634</v>
      </c>
      <c r="GO22" s="20">
        <v>22875.469504503151</v>
      </c>
      <c r="GP22" s="20">
        <v>53.228573414654072</v>
      </c>
      <c r="GQ22" s="20">
        <v>231.11065626359584</v>
      </c>
      <c r="GR22" s="20">
        <v>105.85933880214242</v>
      </c>
      <c r="GS22" s="20">
        <v>10197.897525867431</v>
      </c>
      <c r="GT22" s="20">
        <v>47.689827957274851</v>
      </c>
      <c r="GU22" s="20">
        <v>376.45157768929499</v>
      </c>
      <c r="GV22" s="20">
        <v>43.559334126968928</v>
      </c>
      <c r="GW22" s="20">
        <v>895.06853151931625</v>
      </c>
      <c r="GX22" s="20">
        <v>64007.030989358311</v>
      </c>
      <c r="GY22" s="10">
        <v>2.9792487900000002</v>
      </c>
    </row>
    <row r="23" spans="1:207" s="21" customFormat="1" x14ac:dyDescent="0.25">
      <c r="A23" s="18">
        <v>11</v>
      </c>
      <c r="B23" s="24">
        <v>180</v>
      </c>
      <c r="C23" s="25">
        <v>83.6</v>
      </c>
      <c r="D23" s="24">
        <v>84.3</v>
      </c>
      <c r="E23" s="24">
        <v>83.65</v>
      </c>
      <c r="F23" s="24">
        <v>25.802469135802465</v>
      </c>
      <c r="G23" s="24">
        <v>26.398452543379737</v>
      </c>
      <c r="H23" s="24">
        <v>25.789238565409249</v>
      </c>
      <c r="I23" s="20">
        <v>93.35</v>
      </c>
      <c r="J23" s="20">
        <f>AVERAGE(93.4,93.6)</f>
        <v>93.5</v>
      </c>
      <c r="K23" s="20">
        <f>AVERAGE(92.4,91.6)</f>
        <v>92</v>
      </c>
      <c r="L23" s="20">
        <v>107.35</v>
      </c>
      <c r="M23" s="20">
        <f>AVERAGE(107,107.2)</f>
        <v>107.1</v>
      </c>
      <c r="N23" s="20">
        <f>AVERAGE(107.6,107.8)</f>
        <v>107.69999999999999</v>
      </c>
      <c r="O23" s="19">
        <v>45.950615882873535</v>
      </c>
      <c r="P23" s="19">
        <v>44.493488477623984</v>
      </c>
      <c r="Q23" s="19">
        <v>51.699923683615289</v>
      </c>
      <c r="R23" s="20">
        <v>270.97222222222223</v>
      </c>
      <c r="S23" s="20">
        <f>275+((60/180)*25)</f>
        <v>283.33333333333331</v>
      </c>
      <c r="T23" s="20">
        <f>275+((129/180)*25)</f>
        <v>292.91666666666669</v>
      </c>
      <c r="U23" s="19">
        <v>0.44791607012152679</v>
      </c>
      <c r="V23" s="19">
        <v>0.34147798643328908</v>
      </c>
      <c r="W23" s="19">
        <v>0.36568055540009503</v>
      </c>
      <c r="X23" s="20">
        <v>102.57</v>
      </c>
      <c r="Y23" s="20">
        <v>57.914999999999999</v>
      </c>
      <c r="Z23" s="20">
        <v>42.802500000000002</v>
      </c>
      <c r="AA23" s="20">
        <v>60.84</v>
      </c>
      <c r="AB23" s="20">
        <v>82.094999999999999</v>
      </c>
      <c r="AC23" s="20">
        <v>73.417500000000004</v>
      </c>
      <c r="AD23" s="20">
        <v>47.872500000000002</v>
      </c>
      <c r="AE23" s="20">
        <v>73.905000000000001</v>
      </c>
      <c r="AF23" s="20">
        <v>173.55</v>
      </c>
      <c r="AG23" s="20">
        <v>103.44750000000001</v>
      </c>
      <c r="AH23" s="20">
        <v>126.4575</v>
      </c>
      <c r="AI23" s="20">
        <v>160.7775</v>
      </c>
      <c r="AJ23" s="20">
        <v>89.602500000000006</v>
      </c>
      <c r="AK23" s="20">
        <v>84.532499999999999</v>
      </c>
      <c r="AL23" s="20">
        <v>15.5025</v>
      </c>
      <c r="AM23" s="20">
        <v>129.57749999999999</v>
      </c>
      <c r="AN23" s="20">
        <v>1424.8649999999998</v>
      </c>
      <c r="AO23" s="20">
        <v>229.68</v>
      </c>
      <c r="AP23" s="20">
        <v>264.83999999999997</v>
      </c>
      <c r="AQ23" s="20">
        <v>287.8</v>
      </c>
      <c r="AR23" s="20">
        <v>419.56</v>
      </c>
      <c r="AS23" s="20">
        <v>385</v>
      </c>
      <c r="AT23" s="20">
        <v>399.6</v>
      </c>
      <c r="AU23" s="20">
        <v>540.44000000000005</v>
      </c>
      <c r="AV23" s="20">
        <v>503.72</v>
      </c>
      <c r="AW23" s="20">
        <v>405.96</v>
      </c>
      <c r="AX23" s="20">
        <v>522.16</v>
      </c>
      <c r="AY23" s="20">
        <v>511.24</v>
      </c>
      <c r="AZ23" s="20">
        <v>453.8</v>
      </c>
      <c r="BA23" s="20">
        <v>547.24</v>
      </c>
      <c r="BB23" s="20">
        <v>534.04</v>
      </c>
      <c r="BC23" s="20">
        <v>618.67999999999995</v>
      </c>
      <c r="BD23" s="20">
        <v>492.32</v>
      </c>
      <c r="BE23" s="23">
        <v>7116.08</v>
      </c>
      <c r="BF23" s="20">
        <v>332.25</v>
      </c>
      <c r="BG23" s="20">
        <v>322.755</v>
      </c>
      <c r="BH23" s="20">
        <v>330.60250000000002</v>
      </c>
      <c r="BI23" s="20">
        <v>480.4</v>
      </c>
      <c r="BJ23" s="20">
        <v>467.09500000000003</v>
      </c>
      <c r="BK23" s="20">
        <v>473.01749999999998</v>
      </c>
      <c r="BL23" s="20">
        <v>588.3125</v>
      </c>
      <c r="BM23" s="20">
        <v>577.625</v>
      </c>
      <c r="BN23" s="20">
        <v>579.51</v>
      </c>
      <c r="BO23" s="20">
        <v>625.60749999999996</v>
      </c>
      <c r="BP23" s="20">
        <v>637.69749999999999</v>
      </c>
      <c r="BQ23" s="20">
        <v>614.57749999999999</v>
      </c>
      <c r="BR23" s="20">
        <v>636.84249999999997</v>
      </c>
      <c r="BS23" s="20">
        <v>618.57249999999999</v>
      </c>
      <c r="BT23" s="20">
        <v>634.1825</v>
      </c>
      <c r="BU23" s="20">
        <v>621.89750000000004</v>
      </c>
      <c r="BV23" s="23">
        <v>8540.9449999999997</v>
      </c>
      <c r="BW23" s="19">
        <v>3.5840000000000001</v>
      </c>
      <c r="BX23" s="19">
        <v>2.0229999999999997</v>
      </c>
      <c r="BY23" s="25">
        <v>1.42</v>
      </c>
      <c r="BZ23" s="25">
        <v>1.34</v>
      </c>
      <c r="CA23" s="19">
        <v>3.65</v>
      </c>
      <c r="CB23" s="19">
        <v>3.67</v>
      </c>
      <c r="CC23" s="20">
        <v>46</v>
      </c>
      <c r="CD23" s="20">
        <v>47</v>
      </c>
      <c r="CE23" s="13">
        <v>5.14</v>
      </c>
      <c r="CF23" s="13">
        <v>7.35</v>
      </c>
      <c r="CG23" s="13">
        <v>10.46</v>
      </c>
      <c r="CH23" s="13">
        <v>10.958090522509378</v>
      </c>
      <c r="CI23" s="13">
        <v>10.519569300096244</v>
      </c>
      <c r="CJ23" s="13" t="s">
        <v>59</v>
      </c>
      <c r="CK23" s="13" t="s">
        <v>59</v>
      </c>
      <c r="CL23" s="13" t="s">
        <v>59</v>
      </c>
      <c r="CM23" s="13" t="s">
        <v>59</v>
      </c>
      <c r="CN23" s="13">
        <v>5.46</v>
      </c>
      <c r="CO23" s="13">
        <v>5.46</v>
      </c>
      <c r="CP23" s="13">
        <v>9.23</v>
      </c>
      <c r="CQ23" s="13">
        <v>9.73</v>
      </c>
      <c r="CR23" s="13">
        <v>8.69</v>
      </c>
      <c r="CS23" s="13">
        <v>7.65</v>
      </c>
      <c r="CT23" s="13">
        <v>7.69</v>
      </c>
      <c r="CU23" s="13">
        <v>7.57</v>
      </c>
      <c r="CV23" s="13">
        <v>6.9</v>
      </c>
      <c r="CW23" s="14">
        <v>24.384658851181648</v>
      </c>
      <c r="CX23" s="14">
        <v>95.930460218074955</v>
      </c>
      <c r="CY23" s="14">
        <v>165.45854927802</v>
      </c>
      <c r="CZ23" s="14" t="e">
        <f>(((CY23-#REF!)/#REF!)*158)+376</f>
        <v>#REF!</v>
      </c>
      <c r="DA23" s="14" t="e">
        <f>(((CZ23-#REF!)/#REF!)*232)+350</f>
        <v>#REF!</v>
      </c>
      <c r="DB23" s="14" t="s">
        <v>59</v>
      </c>
      <c r="DC23" s="14" t="s">
        <v>59</v>
      </c>
      <c r="DD23" s="14" t="s">
        <v>59</v>
      </c>
      <c r="DE23" s="14" t="s">
        <v>59</v>
      </c>
      <c r="DF23" s="14">
        <v>28.240588532605749</v>
      </c>
      <c r="DG23" s="14">
        <v>153.048110077437</v>
      </c>
      <c r="DH23" s="14">
        <v>164.33545070483251</v>
      </c>
      <c r="DI23" s="14">
        <v>131.9756611224845</v>
      </c>
      <c r="DJ23" s="14">
        <v>135.958586679218</v>
      </c>
      <c r="DK23" s="14">
        <v>132.76431970664299</v>
      </c>
      <c r="DL23" s="14">
        <v>132.17520725328501</v>
      </c>
      <c r="DM23" s="14">
        <v>125.08854613207001</v>
      </c>
      <c r="DN23" s="14">
        <v>89.403060504640393</v>
      </c>
      <c r="DO23" s="13">
        <v>9.1494687931393752</v>
      </c>
      <c r="DP23" s="13">
        <v>7.8737500000000011</v>
      </c>
      <c r="DQ23" s="13">
        <v>144.21633958712655</v>
      </c>
      <c r="DR23" s="13">
        <v>132.86470237766648</v>
      </c>
      <c r="DS23" s="13">
        <v>457.27470441118714</v>
      </c>
      <c r="DT23" s="13">
        <v>415.73631109958313</v>
      </c>
      <c r="DU23" s="19" t="s">
        <v>59</v>
      </c>
      <c r="DV23" s="13">
        <v>0.68925379989978297</v>
      </c>
      <c r="DW23" s="13">
        <v>0.60718709982740349</v>
      </c>
      <c r="DX23" s="13">
        <v>0.27518999498914298</v>
      </c>
      <c r="DY23" s="13" t="e">
        <f>(((DX23-#REF!)/#REF!)*0.09)+0.17</f>
        <v>#REF!</v>
      </c>
      <c r="DZ23" s="13" t="e">
        <f>(((DY23-#REF!)/#REF!)*0.06)+0.13</f>
        <v>#REF!</v>
      </c>
      <c r="EA23" s="13" t="s">
        <v>59</v>
      </c>
      <c r="EB23" s="13" t="s">
        <v>59</v>
      </c>
      <c r="EC23" s="13">
        <v>0.46916583152385699</v>
      </c>
      <c r="ED23" s="13">
        <v>0.41507641556706198</v>
      </c>
      <c r="EE23" s="13">
        <v>9.9865681198151396E-2</v>
      </c>
      <c r="EF23" s="13" t="e">
        <f>(((EE23-#REF!)/#REF!)*0.09)+0.15</f>
        <v>#REF!</v>
      </c>
      <c r="EG23" s="13">
        <v>1.03383720282833E-2</v>
      </c>
      <c r="EH23" s="13">
        <v>4.7641417515728299E-2</v>
      </c>
      <c r="EI23" s="13">
        <v>2.52595902232612E-2</v>
      </c>
      <c r="EJ23" s="20">
        <v>106.99007371129328</v>
      </c>
      <c r="EK23" s="20">
        <v>610.45071082491404</v>
      </c>
      <c r="EL23" s="20">
        <v>1342.333303666009</v>
      </c>
      <c r="EM23" s="20">
        <v>1833.6051181100495</v>
      </c>
      <c r="EN23" s="20">
        <v>1834.7265076167907</v>
      </c>
      <c r="EO23" s="20" t="s">
        <v>59</v>
      </c>
      <c r="EP23" s="20" t="s">
        <v>59</v>
      </c>
      <c r="EQ23" s="20">
        <v>120.97509140889416</v>
      </c>
      <c r="ER23" s="20">
        <v>673.38329046411434</v>
      </c>
      <c r="ES23" s="20">
        <v>1524.138533734817</v>
      </c>
      <c r="ET23" s="20">
        <v>1088.272148826265</v>
      </c>
      <c r="EU23" s="20">
        <v>1256.0923611974711</v>
      </c>
      <c r="EV23" s="20" t="s">
        <v>59</v>
      </c>
      <c r="EW23" s="20" t="s">
        <v>59</v>
      </c>
      <c r="EX23" s="20">
        <v>2439.3197417515785</v>
      </c>
      <c r="EY23" s="20">
        <v>2904.6393082597147</v>
      </c>
      <c r="EZ23" s="20">
        <v>3255.3340503330683</v>
      </c>
      <c r="FA23" s="20">
        <v>3404.4779180564328</v>
      </c>
      <c r="FB23" s="19">
        <v>2.6195223874901012</v>
      </c>
      <c r="FC23" s="19">
        <v>1.4854672490280645</v>
      </c>
      <c r="FD23" s="19">
        <v>2.943103961870718</v>
      </c>
      <c r="FE23" s="19">
        <v>3.3148172366442163</v>
      </c>
      <c r="FF23" s="19">
        <v>1.1863930031204677</v>
      </c>
      <c r="FG23" s="19">
        <v>0.76281098225790467</v>
      </c>
      <c r="FH23" s="19">
        <v>1.4775444707539971</v>
      </c>
      <c r="FI23" s="19">
        <v>1.3851512003693445</v>
      </c>
      <c r="FJ23" s="19">
        <v>1.2174768983527522</v>
      </c>
      <c r="FK23" s="19">
        <v>1.3835694050991501</v>
      </c>
      <c r="FL23" s="19">
        <v>0.55832147937411092</v>
      </c>
      <c r="FM23" s="19">
        <v>1.1499999999999999</v>
      </c>
      <c r="FN23" s="19" t="s">
        <v>59</v>
      </c>
      <c r="FO23" s="19" t="s">
        <v>59</v>
      </c>
      <c r="FP23" s="19">
        <v>1.0955961331901181</v>
      </c>
      <c r="FQ23" s="19">
        <v>1.9693251533742331</v>
      </c>
      <c r="FR23" s="19">
        <v>1</v>
      </c>
      <c r="FS23" s="20">
        <v>28.247200367234953</v>
      </c>
      <c r="FT23" s="20">
        <v>32.353684270458572</v>
      </c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19"/>
    </row>
    <row r="24" spans="1:207" s="21" customFormat="1" x14ac:dyDescent="0.25">
      <c r="A24" s="18">
        <v>12</v>
      </c>
      <c r="B24" s="24">
        <v>177.6</v>
      </c>
      <c r="C24" s="25">
        <v>98.2</v>
      </c>
      <c r="D24" s="24">
        <v>97.8</v>
      </c>
      <c r="E24" s="25">
        <v>98.1</v>
      </c>
      <c r="F24" s="24">
        <v>31.133329275221168</v>
      </c>
      <c r="G24" s="24">
        <v>31.006513270026783</v>
      </c>
      <c r="H24" s="24">
        <v>31.171792482927007</v>
      </c>
      <c r="I24" s="20">
        <v>108.80000000000001</v>
      </c>
      <c r="J24" s="20">
        <f>AVERAGE(106.6,107.4)</f>
        <v>107</v>
      </c>
      <c r="K24" s="20">
        <f>AVERAGE(108,108.2)</f>
        <v>108.1</v>
      </c>
      <c r="L24" s="20">
        <v>113.25</v>
      </c>
      <c r="M24" s="20">
        <f>AVERAGE(113,113.2)</f>
        <v>113.1</v>
      </c>
      <c r="N24" s="20">
        <f>AVERAGE(113.2,113)</f>
        <v>113.1</v>
      </c>
      <c r="O24" s="19">
        <v>33.9</v>
      </c>
      <c r="P24" s="19">
        <v>38.693040974934895</v>
      </c>
      <c r="Q24" s="19">
        <v>37.490880900415881</v>
      </c>
      <c r="R24" s="20">
        <v>200</v>
      </c>
      <c r="S24" s="20">
        <f>225+((10/180)*25)</f>
        <v>226.38888888888889</v>
      </c>
      <c r="T24" s="20">
        <f>225+((45/180)*25)</f>
        <v>231.25</v>
      </c>
      <c r="U24" s="19">
        <v>0.32</v>
      </c>
      <c r="V24" s="19">
        <v>0.35723102958440789</v>
      </c>
      <c r="W24" s="19">
        <v>0.4573124604026475</v>
      </c>
      <c r="X24" s="20">
        <v>10.14</v>
      </c>
      <c r="Y24" s="20">
        <v>6.0449999999999999</v>
      </c>
      <c r="Z24" s="20">
        <v>17.647500000000001</v>
      </c>
      <c r="AA24" s="20">
        <v>24.6675</v>
      </c>
      <c r="AB24" s="20">
        <v>37.049999999999997</v>
      </c>
      <c r="AC24" s="20">
        <v>4.29</v>
      </c>
      <c r="AD24" s="20">
        <v>6.24</v>
      </c>
      <c r="AE24" s="20">
        <v>0</v>
      </c>
      <c r="AF24" s="20">
        <v>4.5824999999999996</v>
      </c>
      <c r="AG24" s="20">
        <v>87.067499999999995</v>
      </c>
      <c r="AH24" s="20">
        <v>34.125</v>
      </c>
      <c r="AI24" s="20">
        <v>45.337499999999999</v>
      </c>
      <c r="AJ24" s="20">
        <v>41.34</v>
      </c>
      <c r="AK24" s="20">
        <v>45.142499999999998</v>
      </c>
      <c r="AL24" s="20">
        <v>53.04</v>
      </c>
      <c r="AM24" s="20">
        <v>71.760000000000005</v>
      </c>
      <c r="AN24" s="20">
        <v>488.47500000000002</v>
      </c>
      <c r="AO24" s="20">
        <v>308.48</v>
      </c>
      <c r="AP24" s="20">
        <v>325.8</v>
      </c>
      <c r="AQ24" s="20">
        <v>307.92</v>
      </c>
      <c r="AR24" s="20">
        <v>388.68</v>
      </c>
      <c r="AS24" s="20">
        <v>403.6</v>
      </c>
      <c r="AT24" s="20">
        <v>429.4</v>
      </c>
      <c r="AU24" s="20">
        <v>508.32</v>
      </c>
      <c r="AV24" s="20">
        <v>551.20000000000005</v>
      </c>
      <c r="AW24" s="20">
        <v>554</v>
      </c>
      <c r="AX24" s="20">
        <v>491.36</v>
      </c>
      <c r="AY24" s="20">
        <v>563.44000000000005</v>
      </c>
      <c r="AZ24" s="20">
        <v>542.55999999999995</v>
      </c>
      <c r="BA24" s="20">
        <v>555.96</v>
      </c>
      <c r="BB24" s="20">
        <v>586.36</v>
      </c>
      <c r="BC24" s="20">
        <v>525.6</v>
      </c>
      <c r="BD24" s="20">
        <v>526.67999999999995</v>
      </c>
      <c r="BE24" s="23">
        <v>7569.3600000000006</v>
      </c>
      <c r="BF24" s="20">
        <v>318.62</v>
      </c>
      <c r="BG24" s="20">
        <v>331.84500000000003</v>
      </c>
      <c r="BH24" s="20">
        <v>325.5675</v>
      </c>
      <c r="BI24" s="20">
        <v>413.34750000000003</v>
      </c>
      <c r="BJ24" s="20">
        <v>440.65</v>
      </c>
      <c r="BK24" s="20">
        <v>433.69</v>
      </c>
      <c r="BL24" s="20">
        <v>514.55999999999995</v>
      </c>
      <c r="BM24" s="20">
        <v>551.20000000000005</v>
      </c>
      <c r="BN24" s="20">
        <v>558.58249999999998</v>
      </c>
      <c r="BO24" s="20">
        <v>578.42750000000001</v>
      </c>
      <c r="BP24" s="20">
        <v>597.56500000000005</v>
      </c>
      <c r="BQ24" s="20">
        <v>587.89750000000004</v>
      </c>
      <c r="BR24" s="20">
        <v>597.29999999999995</v>
      </c>
      <c r="BS24" s="20">
        <v>631.50250000000005</v>
      </c>
      <c r="BT24" s="20">
        <v>578.64</v>
      </c>
      <c r="BU24" s="20">
        <v>598.44000000000005</v>
      </c>
      <c r="BV24" s="23">
        <v>8057.8350000000009</v>
      </c>
      <c r="BW24" s="19">
        <v>1.506</v>
      </c>
      <c r="BX24" s="19">
        <v>0.95799999999999996</v>
      </c>
      <c r="BY24" s="25">
        <v>0.82</v>
      </c>
      <c r="BZ24" s="25">
        <v>0.72</v>
      </c>
      <c r="CA24" s="19">
        <v>2.9050000000000002</v>
      </c>
      <c r="CB24" s="19">
        <v>2.67</v>
      </c>
      <c r="CC24" s="20">
        <v>54</v>
      </c>
      <c r="CD24" s="20">
        <v>37</v>
      </c>
      <c r="CE24" s="13">
        <v>4.82</v>
      </c>
      <c r="CF24" s="13">
        <v>8.1449999999999996</v>
      </c>
      <c r="CG24" s="13">
        <v>10.53</v>
      </c>
      <c r="CH24" s="13">
        <v>10.690000000000001</v>
      </c>
      <c r="CI24" s="13">
        <v>9.8949999999999996</v>
      </c>
      <c r="CJ24" s="13">
        <v>9.8000000000000007</v>
      </c>
      <c r="CK24" s="13">
        <v>9.8000000000000007</v>
      </c>
      <c r="CL24" s="13">
        <v>8.7349999999999994</v>
      </c>
      <c r="CM24" s="13">
        <v>8.9450000000000003</v>
      </c>
      <c r="CN24" s="13">
        <v>5.92</v>
      </c>
      <c r="CO24" s="13">
        <v>7.85</v>
      </c>
      <c r="CP24" s="13">
        <v>10.54</v>
      </c>
      <c r="CQ24" s="13">
        <v>12.2</v>
      </c>
      <c r="CR24" s="13">
        <v>12.71</v>
      </c>
      <c r="CS24" s="13">
        <v>10.7</v>
      </c>
      <c r="CT24" s="13">
        <v>10.404999999999999</v>
      </c>
      <c r="CU24" s="13">
        <v>11.120000000000001</v>
      </c>
      <c r="CV24" s="13">
        <v>9.254999999999999</v>
      </c>
      <c r="CW24" s="14">
        <v>22.369131368351098</v>
      </c>
      <c r="CX24" s="14">
        <v>192.87885103982549</v>
      </c>
      <c r="CY24" s="14">
        <v>201.15183390234151</v>
      </c>
      <c r="CZ24" s="14">
        <v>169.57256463615602</v>
      </c>
      <c r="DA24" s="14">
        <v>125.88779006855401</v>
      </c>
      <c r="DB24" s="14">
        <v>194.73309997450849</v>
      </c>
      <c r="DC24" s="14">
        <v>131.1859566121685</v>
      </c>
      <c r="DD24" s="14">
        <v>101.134964671896</v>
      </c>
      <c r="DE24" s="14">
        <v>94.778572356908853</v>
      </c>
      <c r="DF24" s="14">
        <v>25.668771769794901</v>
      </c>
      <c r="DG24" s="14">
        <v>163.75858259148401</v>
      </c>
      <c r="DH24" s="14">
        <v>173.8348012683945</v>
      </c>
      <c r="DI24" s="14">
        <v>254.27042481663801</v>
      </c>
      <c r="DJ24" s="14">
        <v>192.064423856155</v>
      </c>
      <c r="DK24" s="14">
        <v>179.34424556149202</v>
      </c>
      <c r="DL24" s="14">
        <v>148.2503241832035</v>
      </c>
      <c r="DM24" s="14">
        <v>151.4604037155365</v>
      </c>
      <c r="DN24" s="14">
        <v>112.772461163043</v>
      </c>
      <c r="DO24" s="13">
        <v>9.1806249999999991</v>
      </c>
      <c r="DP24" s="13">
        <v>9.9762500000000003</v>
      </c>
      <c r="DQ24" s="13">
        <v>146.88986409601</v>
      </c>
      <c r="DR24" s="13">
        <v>175.18260162237286</v>
      </c>
      <c r="DS24" s="13">
        <v>451.9720739592716</v>
      </c>
      <c r="DT24" s="13">
        <v>382.56954349309046</v>
      </c>
      <c r="DU24" s="19">
        <v>-69.402530466181133</v>
      </c>
      <c r="DV24" s="13">
        <v>0.73774775903346201</v>
      </c>
      <c r="DW24" s="13">
        <v>0.67433258170480503</v>
      </c>
      <c r="DX24" s="13">
        <v>0.59599618618117001</v>
      </c>
      <c r="DY24" s="13">
        <v>0.37590821780524503</v>
      </c>
      <c r="DZ24" s="13">
        <v>4.3911112966983801E-2</v>
      </c>
      <c r="EA24" s="13">
        <v>8.8674767551917902E-2</v>
      </c>
      <c r="EB24" s="13">
        <v>0.114786899393129</v>
      </c>
      <c r="EC24" s="13">
        <v>0.59226588163242599</v>
      </c>
      <c r="ED24" s="13">
        <v>0.54750222704749196</v>
      </c>
      <c r="EE24" s="13">
        <v>0.29757182228161</v>
      </c>
      <c r="EF24" s="13">
        <v>0.27145969044039903</v>
      </c>
      <c r="EG24" s="13">
        <v>4.3911112966983801E-2</v>
      </c>
      <c r="EH24" s="13">
        <v>2.8989894772005701E-2</v>
      </c>
      <c r="EI24" s="13">
        <v>2.8989894772005701E-2</v>
      </c>
      <c r="EJ24" s="20">
        <v>188.47790053062789</v>
      </c>
      <c r="EK24" s="20">
        <v>1043.8083839492035</v>
      </c>
      <c r="EL24" s="20">
        <v>1569.5619838486966</v>
      </c>
      <c r="EM24" s="20">
        <v>1542.0972435554368</v>
      </c>
      <c r="EN24" s="20">
        <v>1279.2204436056934</v>
      </c>
      <c r="EO24" s="20">
        <v>1240.8743336621849</v>
      </c>
      <c r="EP24" s="20">
        <v>1148.2266602971072</v>
      </c>
      <c r="EQ24" s="20">
        <v>125.70135128889743</v>
      </c>
      <c r="ER24" s="20">
        <v>992.80243769029801</v>
      </c>
      <c r="ES24" s="20">
        <v>1447.9324196928442</v>
      </c>
      <c r="ET24" s="20">
        <v>2048.8610889818328</v>
      </c>
      <c r="EU24" s="20">
        <v>1738.2739599358472</v>
      </c>
      <c r="EV24" s="20">
        <v>1494.1255982915648</v>
      </c>
      <c r="EW24" s="20">
        <v>694.61382879207952</v>
      </c>
      <c r="EX24" s="20">
        <v>3667.0301099028902</v>
      </c>
      <c r="EY24" s="20">
        <v>3474.5002641960746</v>
      </c>
      <c r="EZ24" s="20">
        <v>3769.3736760396532</v>
      </c>
      <c r="FA24" s="20">
        <v>3788.6733178218965</v>
      </c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19"/>
    </row>
    <row r="25" spans="1:207" s="21" customFormat="1" x14ac:dyDescent="0.25">
      <c r="A25" s="16" t="s">
        <v>1</v>
      </c>
      <c r="B25" s="25"/>
      <c r="C25" s="25"/>
      <c r="D25" s="24"/>
      <c r="E25" s="25"/>
      <c r="F25" s="24"/>
      <c r="G25" s="24"/>
      <c r="H25" s="24"/>
      <c r="I25" s="20"/>
      <c r="J25" s="20"/>
      <c r="K25" s="20"/>
      <c r="L25" s="20"/>
      <c r="M25" s="20"/>
      <c r="N25" s="20"/>
      <c r="O25" s="19"/>
      <c r="P25" s="19"/>
      <c r="Q25" s="19"/>
      <c r="R25" s="20"/>
      <c r="S25" s="20"/>
      <c r="T25" s="20"/>
      <c r="U25" s="19"/>
      <c r="V25" s="19"/>
      <c r="W25" s="19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3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3"/>
      <c r="BW25" s="19"/>
      <c r="BX25" s="19"/>
      <c r="BY25" s="25"/>
      <c r="BZ25" s="25"/>
      <c r="CA25" s="19"/>
      <c r="CB25" s="19"/>
      <c r="CC25" s="20"/>
      <c r="CD25" s="20"/>
      <c r="CE25" s="36"/>
      <c r="CF25" s="36"/>
      <c r="CG25" s="36"/>
      <c r="CH25" s="36"/>
      <c r="CI25" s="36"/>
      <c r="CJ25" s="36"/>
      <c r="CK25" s="36"/>
      <c r="CL25" s="36"/>
      <c r="CM25" s="36"/>
      <c r="CN25" s="13"/>
      <c r="CO25" s="13"/>
      <c r="CP25" s="13"/>
      <c r="CQ25" s="13"/>
      <c r="CR25" s="13"/>
      <c r="CS25" s="13"/>
      <c r="CT25" s="13"/>
      <c r="CU25" s="13"/>
      <c r="CV25" s="13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3"/>
      <c r="DP25" s="13"/>
      <c r="DQ25" s="13"/>
      <c r="DR25" s="13"/>
      <c r="DS25" s="13"/>
      <c r="DT25" s="13"/>
      <c r="DU25" s="19"/>
      <c r="DV25" s="36"/>
      <c r="DW25" s="36"/>
      <c r="DX25" s="36"/>
      <c r="DY25" s="36"/>
      <c r="DZ25" s="36"/>
      <c r="EA25" s="36"/>
      <c r="EB25" s="36"/>
      <c r="EC25" s="13"/>
      <c r="ED25" s="13"/>
      <c r="EE25" s="13"/>
      <c r="EF25" s="13"/>
      <c r="EG25" s="13"/>
      <c r="EH25" s="13"/>
      <c r="EI25" s="13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19"/>
    </row>
    <row r="26" spans="1:207" s="21" customFormat="1" x14ac:dyDescent="0.25">
      <c r="A26" s="18">
        <v>1</v>
      </c>
      <c r="B26" s="24">
        <v>166.75</v>
      </c>
      <c r="C26" s="24">
        <v>82.3</v>
      </c>
      <c r="D26" s="24">
        <v>84.7</v>
      </c>
      <c r="E26" s="25">
        <v>82.6</v>
      </c>
      <c r="F26" s="24">
        <v>29.598394206195252</v>
      </c>
      <c r="G26" s="24">
        <v>30.37039693068952</v>
      </c>
      <c r="H26" s="24">
        <v>29.688479432281515</v>
      </c>
      <c r="I26" s="20">
        <v>95.65</v>
      </c>
      <c r="J26" s="20">
        <f>AVERAGE(96.9,96.4)</f>
        <v>96.65</v>
      </c>
      <c r="K26" s="20">
        <f>(98.5+98.6)/2</f>
        <v>98.55</v>
      </c>
      <c r="L26" s="20">
        <v>106</v>
      </c>
      <c r="M26" s="20">
        <f>AVERAGE(108.7,108.5)</f>
        <v>108.6</v>
      </c>
      <c r="N26" s="20">
        <v>108.5</v>
      </c>
      <c r="O26" s="19">
        <v>33.769654464721683</v>
      </c>
      <c r="P26" s="19">
        <v>32.944280052185057</v>
      </c>
      <c r="Q26" s="19">
        <v>34.710539859274157</v>
      </c>
      <c r="R26" s="20">
        <f>200+((9/180*25))</f>
        <v>201.25</v>
      </c>
      <c r="S26" s="20">
        <f>175+((126/180)*25)</f>
        <v>192.5</v>
      </c>
      <c r="T26" s="20">
        <f>200+((86/180)*25)</f>
        <v>211.94444444444446</v>
      </c>
      <c r="U26" s="19">
        <v>0.19859342540173164</v>
      </c>
      <c r="V26" s="19">
        <v>0.17899236654639261</v>
      </c>
      <c r="W26" s="19">
        <v>0.32388187983334071</v>
      </c>
      <c r="X26" s="20">
        <v>43.972499999999997</v>
      </c>
      <c r="Y26" s="20">
        <v>63.375</v>
      </c>
      <c r="Z26" s="20">
        <v>55.185000000000002</v>
      </c>
      <c r="AA26" s="20">
        <v>82.68</v>
      </c>
      <c r="AB26" s="20">
        <v>78</v>
      </c>
      <c r="AC26" s="20">
        <v>65.91</v>
      </c>
      <c r="AD26" s="20">
        <v>75.855000000000004</v>
      </c>
      <c r="AE26" s="20">
        <v>113.49</v>
      </c>
      <c r="AF26" s="20">
        <v>110.8575</v>
      </c>
      <c r="AG26" s="20">
        <v>94.282499999999999</v>
      </c>
      <c r="AH26" s="20">
        <v>128.69999999999999</v>
      </c>
      <c r="AI26" s="20">
        <v>98.28</v>
      </c>
      <c r="AJ26" s="20">
        <v>130.7475</v>
      </c>
      <c r="AK26" s="20">
        <v>133.38</v>
      </c>
      <c r="AL26" s="20">
        <v>74.685000000000002</v>
      </c>
      <c r="AM26" s="20">
        <v>75.952500000000001</v>
      </c>
      <c r="AN26" s="20">
        <v>1425.3524999999997</v>
      </c>
      <c r="AO26" s="20">
        <v>228.36</v>
      </c>
      <c r="AP26" s="20">
        <v>198.2</v>
      </c>
      <c r="AQ26" s="20">
        <v>206.24</v>
      </c>
      <c r="AR26" s="20">
        <v>258</v>
      </c>
      <c r="AS26" s="20">
        <v>253.16</v>
      </c>
      <c r="AT26" s="20">
        <v>268.72000000000003</v>
      </c>
      <c r="AU26" s="20">
        <v>320.32</v>
      </c>
      <c r="AV26" s="20">
        <v>297</v>
      </c>
      <c r="AW26" s="20">
        <v>296.8</v>
      </c>
      <c r="AX26" s="20">
        <v>327.36</v>
      </c>
      <c r="AY26" s="20">
        <v>293.04000000000002</v>
      </c>
      <c r="AZ26" s="20">
        <v>325.52</v>
      </c>
      <c r="BA26" s="20">
        <v>289.72000000000003</v>
      </c>
      <c r="BB26" s="20">
        <v>291.32</v>
      </c>
      <c r="BC26" s="20">
        <v>333.84</v>
      </c>
      <c r="BD26" s="20">
        <v>351.64</v>
      </c>
      <c r="BE26" s="23">
        <v>4539.2400000000007</v>
      </c>
      <c r="BF26" s="20">
        <v>272.33249999999998</v>
      </c>
      <c r="BG26" s="20">
        <v>261.57499999999999</v>
      </c>
      <c r="BH26" s="20">
        <v>261.42500000000001</v>
      </c>
      <c r="BI26" s="20">
        <v>340.68</v>
      </c>
      <c r="BJ26" s="20">
        <v>331.16</v>
      </c>
      <c r="BK26" s="20">
        <v>334.63</v>
      </c>
      <c r="BL26" s="20">
        <v>396.17500000000001</v>
      </c>
      <c r="BM26" s="20">
        <v>410.49</v>
      </c>
      <c r="BN26" s="20">
        <v>407.65750000000003</v>
      </c>
      <c r="BO26" s="20">
        <v>421.64249999999998</v>
      </c>
      <c r="BP26" s="20">
        <v>421.74</v>
      </c>
      <c r="BQ26" s="20">
        <v>423.8</v>
      </c>
      <c r="BR26" s="20">
        <v>420.46749999999997</v>
      </c>
      <c r="BS26" s="20">
        <v>424.7</v>
      </c>
      <c r="BT26" s="20">
        <v>408.52499999999998</v>
      </c>
      <c r="BU26" s="20">
        <v>427.59249999999997</v>
      </c>
      <c r="BV26" s="23">
        <v>5964.5924999999997</v>
      </c>
      <c r="BW26" s="19">
        <v>0.623</v>
      </c>
      <c r="BX26" s="19">
        <v>0.69899999999999995</v>
      </c>
      <c r="BY26" s="25">
        <v>0.45</v>
      </c>
      <c r="BZ26" s="25">
        <v>0.36</v>
      </c>
      <c r="CA26" s="19">
        <v>1.58</v>
      </c>
      <c r="CB26" s="19">
        <v>1.38</v>
      </c>
      <c r="CC26" s="20">
        <v>17</v>
      </c>
      <c r="CD26" s="20">
        <v>21</v>
      </c>
      <c r="CE26" s="13">
        <v>5.7200000000000006</v>
      </c>
      <c r="CF26" s="13">
        <v>8.0050000000000008</v>
      </c>
      <c r="CG26" s="13">
        <v>9.4550000000000001</v>
      </c>
      <c r="CH26" s="13">
        <v>9.3249999999999993</v>
      </c>
      <c r="CI26" s="13">
        <v>8.7899999999999991</v>
      </c>
      <c r="CJ26" s="13">
        <v>8.0249999999999986</v>
      </c>
      <c r="CK26" s="13">
        <v>7.71</v>
      </c>
      <c r="CL26" s="13">
        <v>7.2349999999999994</v>
      </c>
      <c r="CM26" s="13">
        <v>7.3949999999999996</v>
      </c>
      <c r="CN26" s="13">
        <v>5.625</v>
      </c>
      <c r="CO26" s="13">
        <v>8.3650000000000002</v>
      </c>
      <c r="CP26" s="13">
        <v>9.2349999999999994</v>
      </c>
      <c r="CQ26" s="13">
        <v>8.58</v>
      </c>
      <c r="CR26" s="13">
        <v>8.2100000000000009</v>
      </c>
      <c r="CS26" s="13">
        <v>7.8849999999999998</v>
      </c>
      <c r="CT26" s="13">
        <v>7.96</v>
      </c>
      <c r="CU26" s="13">
        <v>8.08</v>
      </c>
      <c r="CV26" s="13">
        <v>6.6950000000000003</v>
      </c>
      <c r="CW26" s="14">
        <f>AVERAGE(28.5881826275115,39.946128)</f>
        <v>34.267155313755751</v>
      </c>
      <c r="CX26" s="14">
        <v>270.65432132075051</v>
      </c>
      <c r="CY26" s="14">
        <v>329.95839711437702</v>
      </c>
      <c r="CZ26" s="14">
        <v>330.60593121369851</v>
      </c>
      <c r="DA26" s="14">
        <v>297.10048629195046</v>
      </c>
      <c r="DB26" s="14">
        <v>249.75437206657102</v>
      </c>
      <c r="DC26" s="14">
        <v>234.42355213030402</v>
      </c>
      <c r="DD26" s="14">
        <v>201.56260740700702</v>
      </c>
      <c r="DE26" s="14">
        <v>175.32951545055801</v>
      </c>
      <c r="DF26" s="14">
        <v>26.335998937571951</v>
      </c>
      <c r="DG26" s="14">
        <v>210.50845779761198</v>
      </c>
      <c r="DH26" s="14">
        <v>521.22876319877105</v>
      </c>
      <c r="DI26" s="14">
        <v>377.78653507566401</v>
      </c>
      <c r="DJ26" s="14">
        <v>241.77735161316599</v>
      </c>
      <c r="DK26" s="14">
        <v>272.97749672436703</v>
      </c>
      <c r="DL26" s="14">
        <v>187.2436793864735</v>
      </c>
      <c r="DM26" s="14">
        <v>166.61580603528398</v>
      </c>
      <c r="DN26" s="14">
        <v>150.75369789049898</v>
      </c>
      <c r="DO26" s="13">
        <v>8.137812499999999</v>
      </c>
      <c r="DP26" s="13">
        <v>8.0593749999999993</v>
      </c>
      <c r="DQ26" s="13">
        <v>252.35725036585194</v>
      </c>
      <c r="DR26" s="13">
        <v>258.33536728067162</v>
      </c>
      <c r="DS26" s="13">
        <v>377.91944231257958</v>
      </c>
      <c r="DT26" s="13">
        <v>404.54466079488554</v>
      </c>
      <c r="DU26" s="19">
        <v>26.625218482305968</v>
      </c>
      <c r="DV26" s="13">
        <v>0.23292144105651599</v>
      </c>
      <c r="DW26" s="13">
        <v>0.26365151809412801</v>
      </c>
      <c r="DX26" s="13">
        <v>0.16707127597591701</v>
      </c>
      <c r="DY26" s="13">
        <v>0.101221110895319</v>
      </c>
      <c r="DZ26" s="13">
        <v>7.9271055868453205E-2</v>
      </c>
      <c r="EA26" s="13">
        <v>1.7810901793228199E-2</v>
      </c>
      <c r="EB26" s="13">
        <v>9.0308797824818193E-3</v>
      </c>
      <c r="EC26" s="13">
        <v>0.289991584126367</v>
      </c>
      <c r="ED26" s="13">
        <v>0.33389169418010001</v>
      </c>
      <c r="EE26" s="13">
        <v>0.20658137502427601</v>
      </c>
      <c r="EF26" s="13">
        <v>0.118781154916812</v>
      </c>
      <c r="EG26" s="13">
        <v>7.9271055868453205E-2</v>
      </c>
      <c r="EH26" s="13">
        <v>7.9271055868453205E-2</v>
      </c>
      <c r="EI26" s="13">
        <v>3.5370945814721097E-2</v>
      </c>
      <c r="EJ26" s="20">
        <v>300.45925193937438</v>
      </c>
      <c r="EK26" s="20">
        <v>995.27732858504646</v>
      </c>
      <c r="EL26" s="20">
        <v>1511.4278998075417</v>
      </c>
      <c r="EM26" s="20">
        <v>1872.733299663294</v>
      </c>
      <c r="EN26" s="20">
        <v>2194.3348094250023</v>
      </c>
      <c r="EO26" s="20">
        <v>1753.6216293811756</v>
      </c>
      <c r="EP26" s="20">
        <v>1424.0793416006577</v>
      </c>
      <c r="EQ26" s="20">
        <v>264.72575085474011</v>
      </c>
      <c r="ER26" s="20">
        <v>772.93554405843145</v>
      </c>
      <c r="ES26" s="20">
        <v>1821.1182425410409</v>
      </c>
      <c r="ET26" s="20">
        <v>1749.6512403717722</v>
      </c>
      <c r="EU26" s="20">
        <v>1936.259523813753</v>
      </c>
      <c r="EV26" s="20">
        <v>1749.6512403717722</v>
      </c>
      <c r="EW26" s="20">
        <v>1404.2273965536388</v>
      </c>
      <c r="EX26" s="20">
        <v>2380.0963323175988</v>
      </c>
      <c r="EY26" s="20">
        <v>2217.7277562209492</v>
      </c>
      <c r="EZ26" s="20">
        <v>3074.4511179478459</v>
      </c>
      <c r="FA26" s="20">
        <v>3094.9187238090058</v>
      </c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19"/>
    </row>
    <row r="27" spans="1:207" s="21" customFormat="1" x14ac:dyDescent="0.25">
      <c r="A27" s="18">
        <v>2</v>
      </c>
      <c r="B27" s="24">
        <v>175.4</v>
      </c>
      <c r="C27" s="24">
        <v>85.8</v>
      </c>
      <c r="D27" s="24">
        <v>85</v>
      </c>
      <c r="E27" s="25">
        <v>85.5</v>
      </c>
      <c r="F27" s="24">
        <v>27.888689673643825</v>
      </c>
      <c r="G27" s="24">
        <v>27.755102040816325</v>
      </c>
      <c r="H27" s="24">
        <v>27.791176772687027</v>
      </c>
      <c r="I27" s="20">
        <v>102.1</v>
      </c>
      <c r="J27" s="20">
        <f>AVERAGE(100.1,100.4)</f>
        <v>100.25</v>
      </c>
      <c r="K27" s="20">
        <v>99.8</v>
      </c>
      <c r="L27" s="20">
        <v>109.05</v>
      </c>
      <c r="M27" s="20">
        <f>AVERAGE(108.6,107.7,107.9)</f>
        <v>108.06666666666668</v>
      </c>
      <c r="N27" s="20">
        <v>107.8</v>
      </c>
      <c r="O27" s="19">
        <v>37.607097459999999</v>
      </c>
      <c r="P27" s="19">
        <v>36.284858402452969</v>
      </c>
      <c r="Q27" s="19">
        <v>38.42918586730957</v>
      </c>
      <c r="R27" s="20">
        <v>221.66666666666666</v>
      </c>
      <c r="S27" s="20">
        <f>200+((91/180)*25)</f>
        <v>212.63888888888889</v>
      </c>
      <c r="T27" s="20">
        <f>225+((67/180)*25)</f>
        <v>234.30555555555554</v>
      </c>
      <c r="U27" s="19">
        <v>0.43901886419792313</v>
      </c>
      <c r="V27" s="19">
        <v>0.43202427206500893</v>
      </c>
      <c r="W27" s="19">
        <v>0.49694391355514567</v>
      </c>
      <c r="X27" s="20">
        <v>66.592500000000001</v>
      </c>
      <c r="Y27" s="20">
        <v>93.795000000000002</v>
      </c>
      <c r="Z27" s="20">
        <v>82.582499999999996</v>
      </c>
      <c r="AA27" s="20">
        <v>118.6575</v>
      </c>
      <c r="AB27" s="20">
        <v>138.84</v>
      </c>
      <c r="AC27" s="20">
        <v>122.265</v>
      </c>
      <c r="AD27" s="20">
        <v>154.44</v>
      </c>
      <c r="AE27" s="20">
        <v>150.4425</v>
      </c>
      <c r="AF27" s="20">
        <v>103.2525</v>
      </c>
      <c r="AG27" s="20">
        <v>149.66249999999999</v>
      </c>
      <c r="AH27" s="20">
        <v>151.61250000000001</v>
      </c>
      <c r="AI27" s="20">
        <v>133.08750000000001</v>
      </c>
      <c r="AJ27" s="20">
        <v>145.3725</v>
      </c>
      <c r="AK27" s="20">
        <v>173.45249999999999</v>
      </c>
      <c r="AL27" s="20">
        <v>165.45750000000001</v>
      </c>
      <c r="AM27" s="20">
        <v>181.0575</v>
      </c>
      <c r="AN27" s="20">
        <v>2130.5699999999997</v>
      </c>
      <c r="AO27" s="20">
        <v>194.28</v>
      </c>
      <c r="AP27" s="20">
        <v>181.04</v>
      </c>
      <c r="AQ27" s="20">
        <v>190.72</v>
      </c>
      <c r="AR27" s="20">
        <v>248.08</v>
      </c>
      <c r="AS27" s="20">
        <v>225.4</v>
      </c>
      <c r="AT27" s="20">
        <v>233.56</v>
      </c>
      <c r="AU27" s="20">
        <v>286.64</v>
      </c>
      <c r="AV27" s="20">
        <v>282.39999999999998</v>
      </c>
      <c r="AW27" s="20">
        <v>371.8</v>
      </c>
      <c r="AX27" s="20">
        <v>295.64</v>
      </c>
      <c r="AY27" s="20">
        <v>265.76</v>
      </c>
      <c r="AZ27" s="20">
        <v>337.76</v>
      </c>
      <c r="BA27" s="20">
        <v>283.24</v>
      </c>
      <c r="BB27" s="20">
        <v>277.2</v>
      </c>
      <c r="BC27" s="20">
        <v>299.16000000000003</v>
      </c>
      <c r="BD27" s="20">
        <v>285.60000000000002</v>
      </c>
      <c r="BE27" s="23">
        <v>4258.28</v>
      </c>
      <c r="BF27" s="20">
        <v>260.8725</v>
      </c>
      <c r="BG27" s="20">
        <v>274.83499999999998</v>
      </c>
      <c r="BH27" s="20">
        <v>273.30250000000001</v>
      </c>
      <c r="BI27" s="20">
        <v>366.73750000000001</v>
      </c>
      <c r="BJ27" s="20">
        <v>364.24</v>
      </c>
      <c r="BK27" s="20">
        <v>355.82499999999999</v>
      </c>
      <c r="BL27" s="20">
        <v>441.08</v>
      </c>
      <c r="BM27" s="20">
        <v>432.84249999999997</v>
      </c>
      <c r="BN27" s="20">
        <v>475.05250000000001</v>
      </c>
      <c r="BO27" s="20">
        <v>445.30250000000001</v>
      </c>
      <c r="BP27" s="20">
        <v>417.3725</v>
      </c>
      <c r="BQ27" s="20">
        <v>470.84750000000003</v>
      </c>
      <c r="BR27" s="20">
        <v>428.61250000000001</v>
      </c>
      <c r="BS27" s="20">
        <v>450.65249999999997</v>
      </c>
      <c r="BT27" s="20">
        <v>464.61750000000001</v>
      </c>
      <c r="BU27" s="20">
        <v>466.65750000000003</v>
      </c>
      <c r="BV27" s="23">
        <v>6388.85</v>
      </c>
      <c r="BW27" s="19">
        <v>1.1090000000000002</v>
      </c>
      <c r="BX27" s="19">
        <v>0.77</v>
      </c>
      <c r="BY27" s="25">
        <v>1.21</v>
      </c>
      <c r="BZ27" s="25">
        <v>0.89</v>
      </c>
      <c r="CA27" s="19">
        <v>3.33</v>
      </c>
      <c r="CB27" s="19">
        <v>2.38</v>
      </c>
      <c r="CC27" s="20">
        <v>11</v>
      </c>
      <c r="CD27" s="20">
        <v>10</v>
      </c>
      <c r="CE27" s="13">
        <v>7.07</v>
      </c>
      <c r="CF27" s="13">
        <v>10.355</v>
      </c>
      <c r="CG27" s="13">
        <v>12.795</v>
      </c>
      <c r="CH27" s="13">
        <v>12.940000000000001</v>
      </c>
      <c r="CI27" s="13">
        <v>10.600000000000001</v>
      </c>
      <c r="CJ27" s="13">
        <v>9.35</v>
      </c>
      <c r="CK27" s="13">
        <v>9.2550000000000008</v>
      </c>
      <c r="CL27" s="13">
        <v>8.6549999999999994</v>
      </c>
      <c r="CM27" s="13">
        <v>7.8149999999999995</v>
      </c>
      <c r="CN27" s="13">
        <v>7.04</v>
      </c>
      <c r="CO27" s="13">
        <v>9.4899999999999984</v>
      </c>
      <c r="CP27" s="13">
        <v>10.49</v>
      </c>
      <c r="CQ27" s="13">
        <v>11.765000000000001</v>
      </c>
      <c r="CR27" s="13">
        <v>12.404999999999999</v>
      </c>
      <c r="CS27" s="13">
        <v>13.025</v>
      </c>
      <c r="CT27" s="13">
        <v>12.030000000000001</v>
      </c>
      <c r="CU27" s="13">
        <v>9.9849999999999994</v>
      </c>
      <c r="CV27" s="13">
        <v>5.52</v>
      </c>
      <c r="CW27" s="14">
        <v>32.281372055485299</v>
      </c>
      <c r="CX27" s="14">
        <v>119.76650886606751</v>
      </c>
      <c r="CY27" s="14">
        <v>208.67821539768849</v>
      </c>
      <c r="CZ27" s="14">
        <v>196.12447835417248</v>
      </c>
      <c r="DA27" s="14">
        <v>137.20903298571352</v>
      </c>
      <c r="DB27" s="14">
        <v>136.30840649373698</v>
      </c>
      <c r="DC27" s="14">
        <v>163.952442981346</v>
      </c>
      <c r="DD27" s="14">
        <v>168.350129285295</v>
      </c>
      <c r="DE27" s="14">
        <v>83.480104660050557</v>
      </c>
      <c r="DF27" s="14">
        <v>34.2091984418824</v>
      </c>
      <c r="DG27" s="14">
        <v>125.558223535886</v>
      </c>
      <c r="DH27" s="14">
        <v>144.157815718194</v>
      </c>
      <c r="DI27" s="14">
        <v>286.6637364403835</v>
      </c>
      <c r="DJ27" s="14">
        <v>332.99684685142898</v>
      </c>
      <c r="DK27" s="14">
        <v>349.30799073008302</v>
      </c>
      <c r="DL27" s="14">
        <v>343.103370557608</v>
      </c>
      <c r="DM27" s="14">
        <v>223.76557428772651</v>
      </c>
      <c r="DN27" s="14">
        <v>138.417650664039</v>
      </c>
      <c r="DO27" s="13">
        <v>10.1740625</v>
      </c>
      <c r="DP27" s="13">
        <v>10.68375</v>
      </c>
      <c r="DQ27" s="13">
        <v>148.53374409022348</v>
      </c>
      <c r="DR27" s="13">
        <v>236.48337283428384</v>
      </c>
      <c r="DS27" s="13">
        <v>340.51022257476245</v>
      </c>
      <c r="DT27" s="13">
        <v>366.1604457255936</v>
      </c>
      <c r="DU27" s="19">
        <v>25.650223150831152</v>
      </c>
      <c r="DV27" s="13">
        <v>0.21632086590729649</v>
      </c>
      <c r="DW27" s="13">
        <v>0.20050720315994952</v>
      </c>
      <c r="DX27" s="13">
        <v>0.1899647613283845</v>
      </c>
      <c r="DY27" s="13">
        <v>9.5082784844302493E-2</v>
      </c>
      <c r="DZ27" s="13">
        <v>7.575497481976709E-2</v>
      </c>
      <c r="EA27" s="13">
        <v>4.0613502047884699E-2</v>
      </c>
      <c r="EB27" s="13">
        <v>3.5342281132102346E-2</v>
      </c>
      <c r="EC27" s="13">
        <v>0.15482328855650201</v>
      </c>
      <c r="ED27" s="13">
        <v>0.21104964499151449</v>
      </c>
      <c r="EE27" s="13">
        <v>0.14955206764071999</v>
      </c>
      <c r="EF27" s="13">
        <v>8.6297416651331893E-2</v>
      </c>
      <c r="EG27" s="13">
        <v>4.5884722963667052E-2</v>
      </c>
      <c r="EH27" s="13">
        <v>3.1828133854914099E-2</v>
      </c>
      <c r="EI27" s="13">
        <v>4.0613502047884699E-2</v>
      </c>
      <c r="EJ27" s="20">
        <v>396.49266565499346</v>
      </c>
      <c r="EK27" s="20">
        <v>749.03671107463526</v>
      </c>
      <c r="EL27" s="20">
        <v>1422.0753432394108</v>
      </c>
      <c r="EM27" s="20">
        <v>1822.6935766708264</v>
      </c>
      <c r="EN27" s="20">
        <v>1832.3084142731793</v>
      </c>
      <c r="EO27" s="20">
        <v>1813.0787390684734</v>
      </c>
      <c r="EP27" s="20">
        <v>1646.4215539610036</v>
      </c>
      <c r="EQ27" s="20">
        <v>460.59158300401947</v>
      </c>
      <c r="ER27" s="20">
        <v>665.70811852090378</v>
      </c>
      <c r="ES27" s="20">
        <v>1236.1884829272356</v>
      </c>
      <c r="ET27" s="20">
        <v>1841.923251875535</v>
      </c>
      <c r="EU27" s="20">
        <v>2255.3612687767536</v>
      </c>
      <c r="EV27" s="20">
        <v>2970.0641972183962</v>
      </c>
      <c r="EW27" s="20">
        <v>2027.8101121877107</v>
      </c>
      <c r="EX27" s="20">
        <v>2911.8338327659326</v>
      </c>
      <c r="EY27" s="20">
        <v>2449.6352025974593</v>
      </c>
      <c r="EZ27" s="20">
        <v>3080.3041395561095</v>
      </c>
      <c r="FA27" s="20">
        <v>3351.9788947659536</v>
      </c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19"/>
    </row>
    <row r="28" spans="1:207" s="21" customFormat="1" x14ac:dyDescent="0.25">
      <c r="A28" s="18">
        <v>3</v>
      </c>
      <c r="B28" s="25">
        <v>171.6</v>
      </c>
      <c r="C28" s="25">
        <v>77.3</v>
      </c>
      <c r="D28" s="24">
        <v>76</v>
      </c>
      <c r="E28" s="25">
        <v>76.900000000000006</v>
      </c>
      <c r="F28" s="24">
        <v>26.250944083111918</v>
      </c>
      <c r="G28" s="24">
        <v>25.809466368906932</v>
      </c>
      <c r="H28" s="24">
        <v>26.084694186640903</v>
      </c>
      <c r="I28" s="20">
        <v>95.699999999999989</v>
      </c>
      <c r="J28" s="20">
        <f>AVERAGE(95.6,95.2)</f>
        <v>95.4</v>
      </c>
      <c r="K28" s="20">
        <f>AVERAGE(92.4,93.5)</f>
        <v>92.95</v>
      </c>
      <c r="L28" s="20">
        <v>103.4</v>
      </c>
      <c r="M28" s="20">
        <f>AVERAGE(102.4,102.8)</f>
        <v>102.6</v>
      </c>
      <c r="N28" s="20">
        <f>AVERAGE(103.1,103.4)</f>
        <v>103.25</v>
      </c>
      <c r="O28" s="19">
        <v>38.858678936958313</v>
      </c>
      <c r="P28" s="19">
        <v>41.907617441813152</v>
      </c>
      <c r="Q28" s="19">
        <v>42.546476056498868</v>
      </c>
      <c r="R28" s="20">
        <v>208.33333333333334</v>
      </c>
      <c r="S28" s="20">
        <f>225+((5/180)*25)</f>
        <v>225.69444444444446</v>
      </c>
      <c r="T28" s="20">
        <f>225+((110/180)*25)</f>
        <v>240.27777777777777</v>
      </c>
      <c r="U28" s="19">
        <v>9.5040829220544243E-2</v>
      </c>
      <c r="V28" s="19">
        <v>0.37721415743018905</v>
      </c>
      <c r="W28" s="19">
        <v>0.20937943356075617</v>
      </c>
      <c r="X28" s="20">
        <v>83.167500000000004</v>
      </c>
      <c r="Y28" s="20">
        <v>67.47</v>
      </c>
      <c r="Z28" s="20">
        <v>67.86</v>
      </c>
      <c r="AA28" s="20">
        <v>52.65</v>
      </c>
      <c r="AB28" s="20">
        <v>99.254999999999995</v>
      </c>
      <c r="AC28" s="20">
        <v>119.925</v>
      </c>
      <c r="AD28" s="20">
        <v>162.04499999999999</v>
      </c>
      <c r="AE28" s="20">
        <v>153.66</v>
      </c>
      <c r="AF28" s="20">
        <v>140.4975</v>
      </c>
      <c r="AG28" s="20">
        <v>114.9525</v>
      </c>
      <c r="AH28" s="20">
        <v>110.0775</v>
      </c>
      <c r="AI28" s="20">
        <v>126.55500000000001</v>
      </c>
      <c r="AJ28" s="20">
        <v>109.6875</v>
      </c>
      <c r="AK28" s="20">
        <v>171.5025</v>
      </c>
      <c r="AL28" s="20">
        <v>186.81</v>
      </c>
      <c r="AM28" s="20">
        <v>158.24250000000001</v>
      </c>
      <c r="AN28" s="20">
        <v>1924.3575000000003</v>
      </c>
      <c r="AO28" s="20">
        <v>170.6</v>
      </c>
      <c r="AP28" s="20">
        <v>191.6</v>
      </c>
      <c r="AQ28" s="20">
        <v>200</v>
      </c>
      <c r="AR28" s="20">
        <v>290.76</v>
      </c>
      <c r="AS28" s="20">
        <v>228.04</v>
      </c>
      <c r="AT28" s="20">
        <v>218.8</v>
      </c>
      <c r="AU28" s="20">
        <v>266.24</v>
      </c>
      <c r="AV28" s="20">
        <v>272.12</v>
      </c>
      <c r="AW28" s="20">
        <v>284.12</v>
      </c>
      <c r="AX28" s="20">
        <v>356.2</v>
      </c>
      <c r="AY28" s="20">
        <v>378.32</v>
      </c>
      <c r="AZ28" s="20">
        <v>346.72</v>
      </c>
      <c r="BA28" s="20">
        <v>371.16</v>
      </c>
      <c r="BB28" s="20">
        <v>313.88</v>
      </c>
      <c r="BC28" s="20">
        <v>311.2</v>
      </c>
      <c r="BD28" s="20">
        <v>338.68</v>
      </c>
      <c r="BE28" s="23">
        <v>4538.4399999999996</v>
      </c>
      <c r="BF28" s="20">
        <v>253.76750000000001</v>
      </c>
      <c r="BG28" s="20">
        <v>259.07</v>
      </c>
      <c r="BH28" s="20">
        <v>267.86</v>
      </c>
      <c r="BI28" s="20">
        <v>343.41</v>
      </c>
      <c r="BJ28" s="20">
        <v>327.29500000000002</v>
      </c>
      <c r="BK28" s="20">
        <v>338.72500000000002</v>
      </c>
      <c r="BL28" s="20">
        <v>428.28500000000003</v>
      </c>
      <c r="BM28" s="20">
        <v>425.78</v>
      </c>
      <c r="BN28" s="20">
        <v>424.61750000000001</v>
      </c>
      <c r="BO28" s="20">
        <v>471.15249999999997</v>
      </c>
      <c r="BP28" s="20">
        <v>488.39749999999998</v>
      </c>
      <c r="BQ28" s="20">
        <v>473.27499999999998</v>
      </c>
      <c r="BR28" s="20">
        <v>480.84750000000003</v>
      </c>
      <c r="BS28" s="20">
        <v>485.38249999999999</v>
      </c>
      <c r="BT28" s="20">
        <v>498.01</v>
      </c>
      <c r="BU28" s="20">
        <v>496.92250000000001</v>
      </c>
      <c r="BV28" s="23">
        <v>6462.7974999999997</v>
      </c>
      <c r="BW28" s="19">
        <v>1.038</v>
      </c>
      <c r="BX28" s="19">
        <v>0.71099999999999997</v>
      </c>
      <c r="BY28" s="25">
        <v>0.91</v>
      </c>
      <c r="BZ28" s="25">
        <v>0.68</v>
      </c>
      <c r="CA28" s="19">
        <v>3.27</v>
      </c>
      <c r="CB28" s="19">
        <v>2.62</v>
      </c>
      <c r="CC28" s="20">
        <v>22</v>
      </c>
      <c r="CD28" s="20">
        <v>29</v>
      </c>
      <c r="CE28" s="13">
        <v>5.21</v>
      </c>
      <c r="CF28" s="13">
        <v>9.6000000000000014</v>
      </c>
      <c r="CG28" s="13">
        <v>8.375</v>
      </c>
      <c r="CH28" s="13">
        <v>7.0950000000000006</v>
      </c>
      <c r="CI28" s="13">
        <v>6.26</v>
      </c>
      <c r="CJ28" s="13">
        <v>6.7350000000000003</v>
      </c>
      <c r="CK28" s="13">
        <v>7.75</v>
      </c>
      <c r="CL28" s="13">
        <v>7.0299999999999994</v>
      </c>
      <c r="CM28" s="13">
        <v>5.42</v>
      </c>
      <c r="CN28" s="13">
        <v>5.125</v>
      </c>
      <c r="CO28" s="13">
        <v>9.0399999999999991</v>
      </c>
      <c r="CP28" s="13">
        <v>10.465</v>
      </c>
      <c r="CQ28" s="13">
        <v>9.5549999999999997</v>
      </c>
      <c r="CR28" s="13">
        <v>6.8849999999999998</v>
      </c>
      <c r="CS28" s="13">
        <v>7.1300000000000008</v>
      </c>
      <c r="CT28" s="13">
        <v>5.88</v>
      </c>
      <c r="CU28" s="13">
        <v>5.3949999999999996</v>
      </c>
      <c r="CV28" s="13">
        <v>4.3499999999999996</v>
      </c>
      <c r="CW28" s="14">
        <v>12.579004384915001</v>
      </c>
      <c r="CX28" s="14">
        <f>AVERAGE(188.186482033036,201.76431)</f>
        <v>194.975396016518</v>
      </c>
      <c r="CY28" s="14">
        <v>70.828749985445299</v>
      </c>
      <c r="CZ28" s="14">
        <v>81.172321394105552</v>
      </c>
      <c r="DA28" s="14">
        <v>40.7958464477883</v>
      </c>
      <c r="DB28" s="14">
        <v>61.057722248515752</v>
      </c>
      <c r="DC28" s="14">
        <v>82.381214248702548</v>
      </c>
      <c r="DD28" s="14">
        <v>34.900959402416603</v>
      </c>
      <c r="DE28" s="14">
        <v>17.506542780867299</v>
      </c>
      <c r="DF28" s="14">
        <v>12.432407769626749</v>
      </c>
      <c r="DG28" s="14">
        <v>87.599664643607213</v>
      </c>
      <c r="DH28" s="14">
        <v>137.6646921285145</v>
      </c>
      <c r="DI28" s="14">
        <v>115.719450347595</v>
      </c>
      <c r="DJ28" s="14">
        <v>37.381327616698798</v>
      </c>
      <c r="DK28" s="14">
        <v>105.7256891475005</v>
      </c>
      <c r="DL28" s="14">
        <v>32.466081631195699</v>
      </c>
      <c r="DM28" s="14">
        <v>15.6791827165566</v>
      </c>
      <c r="DN28" s="14">
        <v>12.4292960907481</v>
      </c>
      <c r="DO28" s="13">
        <v>7.27</v>
      </c>
      <c r="DP28" s="13">
        <v>7.3859374999999989</v>
      </c>
      <c r="DQ28" s="13">
        <v>72.644372915797902</v>
      </c>
      <c r="DR28" s="13">
        <v>68.083367520231974</v>
      </c>
      <c r="DS28" s="13">
        <v>469.61743340183409</v>
      </c>
      <c r="DT28" s="13">
        <v>491.47897638630593</v>
      </c>
      <c r="DU28" s="19">
        <v>21.861542984471839</v>
      </c>
      <c r="DV28" s="13">
        <v>0.36313324769684352</v>
      </c>
      <c r="DW28" s="13">
        <v>0.27201532189977001</v>
      </c>
      <c r="DX28" s="13">
        <v>8.370494191915176E-2</v>
      </c>
      <c r="DY28" s="13">
        <v>5.7381985577775144E-2</v>
      </c>
      <c r="DZ28" s="13">
        <v>6.1431671168756148E-2</v>
      </c>
      <c r="EA28" s="13">
        <v>5.7381985577775102E-2</v>
      </c>
      <c r="EB28" s="13">
        <v>4.92826143958131E-2</v>
      </c>
      <c r="EC28" s="13">
        <v>0.38945620403822001</v>
      </c>
      <c r="ED28" s="13">
        <v>0.36110840490135249</v>
      </c>
      <c r="EE28" s="13">
        <v>0.14647506857935799</v>
      </c>
      <c r="EF28" s="13">
        <v>5.5357142782284596E-2</v>
      </c>
      <c r="EG28" s="13">
        <v>4.7257771600322546E-2</v>
      </c>
      <c r="EH28" s="13">
        <v>6.548135675973725E-2</v>
      </c>
      <c r="EI28" s="13">
        <v>0.1606489681477915</v>
      </c>
      <c r="EJ28" s="20">
        <v>231.63677813431755</v>
      </c>
      <c r="EK28" s="20">
        <v>1393.0029391063276</v>
      </c>
      <c r="EL28" s="20">
        <v>855.47873622401175</v>
      </c>
      <c r="EM28" s="20">
        <v>1263.5263062952595</v>
      </c>
      <c r="EN28" s="20">
        <v>855.47873622401175</v>
      </c>
      <c r="EO28" s="20">
        <v>694.61382879207952</v>
      </c>
      <c r="EP28" s="20">
        <v>541.59599001535958</v>
      </c>
      <c r="EQ28" s="20">
        <v>129.62488561650571</v>
      </c>
      <c r="ER28" s="20">
        <v>451.35470048037439</v>
      </c>
      <c r="ES28" s="20">
        <v>957.49062874182607</v>
      </c>
      <c r="ET28" s="20">
        <v>1495.0148316241421</v>
      </c>
      <c r="EU28" s="20">
        <v>1039.884849621596</v>
      </c>
      <c r="EV28" s="20">
        <v>906.48468248291726</v>
      </c>
      <c r="EW28" s="20">
        <v>368.96047960060127</v>
      </c>
      <c r="EX28" s="20">
        <v>2328.872738863744</v>
      </c>
      <c r="EY28" s="20">
        <v>2206.4273863403073</v>
      </c>
      <c r="EZ28" s="20">
        <v>3271.6910295589059</v>
      </c>
      <c r="FA28" s="20">
        <v>3287.2363645345458</v>
      </c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19"/>
    </row>
    <row r="29" spans="1:207" s="21" customFormat="1" x14ac:dyDescent="0.25">
      <c r="A29" s="18">
        <v>4</v>
      </c>
      <c r="B29" s="24">
        <v>186</v>
      </c>
      <c r="C29" s="24">
        <v>133.1</v>
      </c>
      <c r="D29" s="24">
        <v>133.1</v>
      </c>
      <c r="E29" s="25">
        <v>131.69999999999999</v>
      </c>
      <c r="F29" s="24">
        <v>38.472655798358183</v>
      </c>
      <c r="G29" s="24">
        <v>38.472655798358183</v>
      </c>
      <c r="H29" s="24">
        <v>38.067984738120003</v>
      </c>
      <c r="I29" s="20">
        <v>125.80000000000001</v>
      </c>
      <c r="J29" s="20">
        <f>AVERAGE(124.8,125.4)</f>
        <v>125.1</v>
      </c>
      <c r="K29" s="20">
        <f>AVERAGE(122,122.5)</f>
        <v>122.25</v>
      </c>
      <c r="L29" s="20">
        <v>131.05000000000001</v>
      </c>
      <c r="M29" s="20">
        <f>AVERAGE(134.2,133.8)</f>
        <v>134</v>
      </c>
      <c r="N29" s="20">
        <f>AVERAGE(133.2,133.8)</f>
        <v>133.5</v>
      </c>
      <c r="O29" s="19">
        <v>30.543807176443245</v>
      </c>
      <c r="P29" s="19">
        <v>30.94608211517334</v>
      </c>
      <c r="Q29" s="19">
        <v>31.865689098834991</v>
      </c>
      <c r="R29" s="20">
        <v>245.97222222222223</v>
      </c>
      <c r="S29" s="20">
        <f>250+((60/180)*25)</f>
        <v>258.33333333333331</v>
      </c>
      <c r="T29" s="20">
        <f>275+((63/180)*25)</f>
        <v>283.75</v>
      </c>
      <c r="U29" s="19">
        <v>0.46553131644800283</v>
      </c>
      <c r="V29" s="19">
        <v>0.55388872764578911</v>
      </c>
      <c r="W29" s="19">
        <v>0.55440805013690708</v>
      </c>
      <c r="X29" s="20">
        <v>89.992500000000007</v>
      </c>
      <c r="Y29" s="20">
        <v>142.935</v>
      </c>
      <c r="Z29" s="20">
        <v>105.78749999999999</v>
      </c>
      <c r="AA29" s="20">
        <v>108.9075</v>
      </c>
      <c r="AB29" s="20">
        <v>106.3725</v>
      </c>
      <c r="AC29" s="20">
        <v>121.7775</v>
      </c>
      <c r="AD29" s="20">
        <v>176.67</v>
      </c>
      <c r="AE29" s="20">
        <v>125.0925</v>
      </c>
      <c r="AF29" s="20">
        <v>127.33499999999999</v>
      </c>
      <c r="AG29" s="20">
        <v>143.52000000000001</v>
      </c>
      <c r="AH29" s="20">
        <v>117.39</v>
      </c>
      <c r="AI29" s="20">
        <v>158.34</v>
      </c>
      <c r="AJ29" s="20">
        <v>128.01750000000001</v>
      </c>
      <c r="AK29" s="20">
        <v>117.0975</v>
      </c>
      <c r="AL29" s="20">
        <v>180.76499999999999</v>
      </c>
      <c r="AM29" s="20">
        <v>193.73249999999999</v>
      </c>
      <c r="AN29" s="20">
        <v>2143.7325000000001</v>
      </c>
      <c r="AO29" s="20">
        <v>232.64</v>
      </c>
      <c r="AP29" s="20">
        <v>165.28</v>
      </c>
      <c r="AQ29" s="20">
        <v>202.8</v>
      </c>
      <c r="AR29" s="20">
        <v>332.08</v>
      </c>
      <c r="AS29" s="20">
        <v>330.56</v>
      </c>
      <c r="AT29" s="20">
        <v>304.64</v>
      </c>
      <c r="AU29" s="20">
        <v>377.96</v>
      </c>
      <c r="AV29" s="20">
        <v>434.96</v>
      </c>
      <c r="AW29" s="20">
        <v>427.16</v>
      </c>
      <c r="AX29" s="20">
        <v>439.88</v>
      </c>
      <c r="AY29" s="20">
        <v>486.52</v>
      </c>
      <c r="AZ29" s="20">
        <v>444.8</v>
      </c>
      <c r="BA29" s="20">
        <v>467.76</v>
      </c>
      <c r="BB29" s="20">
        <v>504.88</v>
      </c>
      <c r="BC29" s="20">
        <v>421.76</v>
      </c>
      <c r="BD29" s="20">
        <v>408</v>
      </c>
      <c r="BE29" s="23">
        <v>5981.68</v>
      </c>
      <c r="BF29" s="20">
        <v>322.63249999999999</v>
      </c>
      <c r="BG29" s="20">
        <v>308.21499999999997</v>
      </c>
      <c r="BH29" s="20">
        <v>308.58749999999998</v>
      </c>
      <c r="BI29" s="20">
        <v>440.98750000000001</v>
      </c>
      <c r="BJ29" s="20">
        <v>436.9325</v>
      </c>
      <c r="BK29" s="20">
        <v>426.41750000000002</v>
      </c>
      <c r="BL29" s="20">
        <v>554.63</v>
      </c>
      <c r="BM29" s="20">
        <v>560.05250000000001</v>
      </c>
      <c r="BN29" s="20">
        <v>554.495</v>
      </c>
      <c r="BO29" s="20">
        <v>583.4</v>
      </c>
      <c r="BP29" s="20">
        <v>603.91</v>
      </c>
      <c r="BQ29" s="20">
        <v>603.14</v>
      </c>
      <c r="BR29" s="20">
        <v>595.77750000000003</v>
      </c>
      <c r="BS29" s="20">
        <v>621.97749999999996</v>
      </c>
      <c r="BT29" s="20">
        <v>602.52499999999998</v>
      </c>
      <c r="BU29" s="20">
        <v>601.73249999999996</v>
      </c>
      <c r="BV29" s="23">
        <v>8125.4124999999995</v>
      </c>
      <c r="BW29" s="19">
        <v>1.0640000000000001</v>
      </c>
      <c r="BX29" s="19">
        <v>0.51300000000000001</v>
      </c>
      <c r="BY29" s="25">
        <v>0.68</v>
      </c>
      <c r="BZ29" s="25">
        <v>0.49</v>
      </c>
      <c r="CA29" s="19">
        <v>2.7</v>
      </c>
      <c r="CB29" s="19">
        <v>1.59</v>
      </c>
      <c r="CC29" s="20">
        <v>16</v>
      </c>
      <c r="CD29" s="20">
        <v>17</v>
      </c>
      <c r="CE29" s="13">
        <v>5.3049999999999997</v>
      </c>
      <c r="CF29" s="13">
        <v>7.28</v>
      </c>
      <c r="CG29" s="13">
        <v>7.6999999999999993</v>
      </c>
      <c r="CH29" s="13">
        <v>12.58</v>
      </c>
      <c r="CI29" s="13">
        <v>9.25</v>
      </c>
      <c r="CJ29" s="13">
        <v>8.68</v>
      </c>
      <c r="CK29" s="13">
        <v>8.36</v>
      </c>
      <c r="CL29" s="13">
        <v>7.36</v>
      </c>
      <c r="CM29" s="13">
        <v>5.97</v>
      </c>
      <c r="CN29" s="13">
        <v>5.3000000000000007</v>
      </c>
      <c r="CO29" s="13">
        <v>7.7450000000000001</v>
      </c>
      <c r="CP29" s="13">
        <v>8.5549999999999997</v>
      </c>
      <c r="CQ29" s="13">
        <v>10.315000000000001</v>
      </c>
      <c r="CR29" s="13">
        <v>7.0350000000000001</v>
      </c>
      <c r="CS29" s="13">
        <v>6.83</v>
      </c>
      <c r="CT29" s="13">
        <v>6.915</v>
      </c>
      <c r="CU29" s="13">
        <v>7.0549999999999997</v>
      </c>
      <c r="CV29" s="13">
        <v>6.17</v>
      </c>
      <c r="CW29" s="14">
        <v>32.055504336835348</v>
      </c>
      <c r="CX29" s="14">
        <v>252.22846998707749</v>
      </c>
      <c r="CY29" s="14">
        <v>231.425543584526</v>
      </c>
      <c r="CZ29" s="14">
        <v>367.62692197422848</v>
      </c>
      <c r="DA29" s="14">
        <v>254.01708900053899</v>
      </c>
      <c r="DB29" s="14">
        <v>217.26253127590098</v>
      </c>
      <c r="DC29" s="14">
        <v>205.80703746506251</v>
      </c>
      <c r="DD29" s="14">
        <v>103.5586813966955</v>
      </c>
      <c r="DE29" s="14">
        <v>67.04312487519141</v>
      </c>
      <c r="DF29" s="14">
        <v>32.270766286534453</v>
      </c>
      <c r="DG29" s="14">
        <v>204.3445600128785</v>
      </c>
      <c r="DH29" s="14">
        <v>200.547361791317</v>
      </c>
      <c r="DI29" s="14">
        <v>246.2741460050585</v>
      </c>
      <c r="DJ29" s="14">
        <v>127.20828236532699</v>
      </c>
      <c r="DK29" s="14">
        <v>134.94812506693899</v>
      </c>
      <c r="DL29" s="14">
        <v>127.97855240093301</v>
      </c>
      <c r="DM29" s="14">
        <v>138.88942448665949</v>
      </c>
      <c r="DN29" s="14">
        <v>73.9991945476241</v>
      </c>
      <c r="DO29" s="13">
        <v>8.3559374999999996</v>
      </c>
      <c r="DP29" s="13">
        <v>7.5231249999999994</v>
      </c>
      <c r="DQ29" s="13">
        <v>210.1844486612554</v>
      </c>
      <c r="DR29" s="13">
        <v>154.16567906827399</v>
      </c>
      <c r="DS29" s="13">
        <v>420.59977970992355</v>
      </c>
      <c r="DT29" s="13">
        <v>413.88515480488371</v>
      </c>
      <c r="DU29" s="19">
        <v>-6.714624905039841</v>
      </c>
      <c r="DV29" s="13">
        <v>0.29631343544565603</v>
      </c>
      <c r="DW29" s="13">
        <v>0.27606500749075102</v>
      </c>
      <c r="DX29" s="13">
        <v>0.219369409217016</v>
      </c>
      <c r="DY29" s="13">
        <v>0.12217695503347201</v>
      </c>
      <c r="DZ29" s="13">
        <v>5.3332299986794098E-2</v>
      </c>
      <c r="EA29" s="13">
        <v>4.1183243213851001E-2</v>
      </c>
      <c r="EB29" s="13">
        <v>2.90341864409079E-2</v>
      </c>
      <c r="EC29" s="13">
        <v>0.29226374985467501</v>
      </c>
      <c r="ED29" s="13">
        <v>0.18292223889818701</v>
      </c>
      <c r="EE29" s="13">
        <v>0.10192852707856601</v>
      </c>
      <c r="EF29" s="13">
        <v>3.7133557622870003E-2</v>
      </c>
      <c r="EG29" s="13">
        <v>5.3332299986794098E-2</v>
      </c>
      <c r="EH29" s="13">
        <v>2.90341864409079E-2</v>
      </c>
      <c r="EI29" s="13">
        <v>5.3332299986794098E-2</v>
      </c>
      <c r="EJ29" s="20">
        <v>188.81705879640464</v>
      </c>
      <c r="EK29" s="20">
        <v>803.29950134833734</v>
      </c>
      <c r="EL29" s="20">
        <v>1034.7279537380284</v>
      </c>
      <c r="EM29" s="20">
        <v>1629.2596676356773</v>
      </c>
      <c r="EN29" s="20">
        <v>1940.4910346425013</v>
      </c>
      <c r="EO29" s="20">
        <v>1250.1958232042916</v>
      </c>
      <c r="EP29" s="20">
        <v>731.47687819291855</v>
      </c>
      <c r="EQ29" s="20">
        <v>228.71851610497171</v>
      </c>
      <c r="ER29" s="20">
        <v>791.32906415576986</v>
      </c>
      <c r="ES29" s="20">
        <v>1194.3337829722973</v>
      </c>
      <c r="ET29" s="20">
        <v>1393.8410695151326</v>
      </c>
      <c r="EU29" s="20">
        <v>795.31920988662353</v>
      </c>
      <c r="EV29" s="20">
        <v>938.96445619746783</v>
      </c>
      <c r="EW29" s="20">
        <v>1.2802094461390991</v>
      </c>
      <c r="EX29" s="20">
        <v>3388.8468180307618</v>
      </c>
      <c r="EY29" s="20">
        <v>3296.7737088679532</v>
      </c>
      <c r="EZ29" s="20">
        <v>3385.5848266210633</v>
      </c>
      <c r="FA29" s="20">
        <v>4285.3906823274929</v>
      </c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19"/>
    </row>
    <row r="30" spans="1:207" s="21" customFormat="1" x14ac:dyDescent="0.25">
      <c r="A30" s="18">
        <v>5</v>
      </c>
      <c r="B30" s="25">
        <v>180.4</v>
      </c>
      <c r="C30" s="25">
        <v>89.4</v>
      </c>
      <c r="D30" s="24">
        <v>90</v>
      </c>
      <c r="E30" s="25">
        <v>89.7</v>
      </c>
      <c r="F30" s="24">
        <v>27.470366419044158</v>
      </c>
      <c r="G30" s="24">
        <v>27.654731294339754</v>
      </c>
      <c r="H30" s="24">
        <v>27.562548856691954</v>
      </c>
      <c r="I30" s="20">
        <v>98.300000000000011</v>
      </c>
      <c r="J30" s="20">
        <f>AVERAGE(97.6,97.9)</f>
        <v>97.75</v>
      </c>
      <c r="K30" s="20">
        <f>AVERAGE(97.2,97.2)</f>
        <v>97.2</v>
      </c>
      <c r="L30" s="20">
        <v>106.1</v>
      </c>
      <c r="M30" s="20">
        <f>AVERAGE(103.3,103.7)</f>
        <v>103.5</v>
      </c>
      <c r="N30" s="20">
        <f>AVERAGE(106.9,107.5)</f>
        <v>107.2</v>
      </c>
      <c r="O30" s="19">
        <v>30.874343781244185</v>
      </c>
      <c r="P30" s="19">
        <v>32.728420551006607</v>
      </c>
      <c r="Q30" s="19">
        <v>35.706920283181326</v>
      </c>
      <c r="R30" s="20">
        <v>183.33333333333334</v>
      </c>
      <c r="S30" s="20">
        <f>200+((3/180)*25)</f>
        <v>200.41666666666666</v>
      </c>
      <c r="T30" s="20">
        <f>225+((12/180)*25)</f>
        <v>226.66666666666666</v>
      </c>
      <c r="U30" s="19">
        <v>0.34270213917995762</v>
      </c>
      <c r="V30" s="19">
        <v>0.33201554288182944</v>
      </c>
      <c r="W30" s="19">
        <v>0.3281424068118397</v>
      </c>
      <c r="X30" s="20">
        <v>42.217500000000001</v>
      </c>
      <c r="Y30" s="20">
        <v>50.9925</v>
      </c>
      <c r="Z30" s="20">
        <v>40.072499999999998</v>
      </c>
      <c r="AA30" s="20">
        <v>45.142499999999998</v>
      </c>
      <c r="AB30" s="20">
        <v>87.36</v>
      </c>
      <c r="AC30" s="20">
        <v>12.1875</v>
      </c>
      <c r="AD30" s="20">
        <v>77.415000000000006</v>
      </c>
      <c r="AE30" s="20">
        <v>99.644999999999996</v>
      </c>
      <c r="AF30" s="20">
        <v>108.22499999999999</v>
      </c>
      <c r="AG30" s="20">
        <v>114.465</v>
      </c>
      <c r="AH30" s="20">
        <v>108.81</v>
      </c>
      <c r="AI30" s="20">
        <v>102.2775</v>
      </c>
      <c r="AJ30" s="20">
        <v>115.7325</v>
      </c>
      <c r="AK30" s="20">
        <v>81.607500000000002</v>
      </c>
      <c r="AL30" s="20">
        <v>94.087500000000006</v>
      </c>
      <c r="AM30" s="20">
        <v>65.715000000000003</v>
      </c>
      <c r="AN30" s="20">
        <v>1245.9525000000001</v>
      </c>
      <c r="AO30" s="20">
        <v>195.84</v>
      </c>
      <c r="AP30" s="20">
        <v>176.64</v>
      </c>
      <c r="AQ30" s="20">
        <v>188.36</v>
      </c>
      <c r="AR30" s="20">
        <v>271.2</v>
      </c>
      <c r="AS30" s="20">
        <v>230.08</v>
      </c>
      <c r="AT30" s="20">
        <v>291.12</v>
      </c>
      <c r="AU30" s="20">
        <v>293.12</v>
      </c>
      <c r="AV30" s="20">
        <v>273.76</v>
      </c>
      <c r="AW30" s="20">
        <v>270.48</v>
      </c>
      <c r="AX30" s="20">
        <v>317.08</v>
      </c>
      <c r="AY30" s="20">
        <v>338.64</v>
      </c>
      <c r="AZ30" s="20">
        <v>322.16000000000003</v>
      </c>
      <c r="BA30" s="20">
        <v>325.92</v>
      </c>
      <c r="BB30" s="20">
        <v>368.04</v>
      </c>
      <c r="BC30" s="20">
        <v>362.16</v>
      </c>
      <c r="BD30" s="20">
        <v>375.68</v>
      </c>
      <c r="BE30" s="23">
        <v>4600.28</v>
      </c>
      <c r="BF30" s="20">
        <v>238.0575</v>
      </c>
      <c r="BG30" s="20">
        <v>227.63249999999999</v>
      </c>
      <c r="BH30" s="20">
        <v>228.4325</v>
      </c>
      <c r="BI30" s="20">
        <v>316.34249999999997</v>
      </c>
      <c r="BJ30" s="20">
        <v>317.44</v>
      </c>
      <c r="BK30" s="20">
        <v>303.3075</v>
      </c>
      <c r="BL30" s="20">
        <v>370.53500000000003</v>
      </c>
      <c r="BM30" s="20">
        <v>373.40499999999997</v>
      </c>
      <c r="BN30" s="20">
        <v>378.70499999999998</v>
      </c>
      <c r="BO30" s="20">
        <v>431.54500000000002</v>
      </c>
      <c r="BP30" s="20">
        <v>447.45</v>
      </c>
      <c r="BQ30" s="20">
        <v>424.4375</v>
      </c>
      <c r="BR30" s="20">
        <v>441.65249999999997</v>
      </c>
      <c r="BS30" s="20">
        <v>449.64749999999998</v>
      </c>
      <c r="BT30" s="20">
        <v>456.2475</v>
      </c>
      <c r="BU30" s="20">
        <v>441.39499999999998</v>
      </c>
      <c r="BV30" s="23">
        <v>5846.2325000000001</v>
      </c>
      <c r="BW30" s="19">
        <v>0.79599999999999993</v>
      </c>
      <c r="BX30" s="19">
        <v>1.0010000000000001</v>
      </c>
      <c r="BY30" s="25">
        <v>1.1100000000000001</v>
      </c>
      <c r="BZ30" s="25">
        <v>1.1200000000000001</v>
      </c>
      <c r="CA30" s="19">
        <v>3.26</v>
      </c>
      <c r="CB30" s="19">
        <v>2.88</v>
      </c>
      <c r="CC30" s="20">
        <v>44</v>
      </c>
      <c r="CD30" s="20">
        <v>29</v>
      </c>
      <c r="CE30" s="13">
        <v>5.1950000000000003</v>
      </c>
      <c r="CF30" s="13">
        <v>7.1</v>
      </c>
      <c r="CG30" s="13">
        <v>8.625</v>
      </c>
      <c r="CH30" s="13">
        <v>9.0749999999999993</v>
      </c>
      <c r="CI30" s="13">
        <v>7.63</v>
      </c>
      <c r="CJ30" s="13">
        <v>8.1999999999999993</v>
      </c>
      <c r="CK30" s="13">
        <v>7.62</v>
      </c>
      <c r="CL30" s="13">
        <v>8.5</v>
      </c>
      <c r="CM30" s="13">
        <v>6.75</v>
      </c>
      <c r="CN30" s="13">
        <v>5.5600000000000005</v>
      </c>
      <c r="CO30" s="13">
        <v>7.79</v>
      </c>
      <c r="CP30" s="13">
        <v>9.08</v>
      </c>
      <c r="CQ30" s="13">
        <v>9.5</v>
      </c>
      <c r="CR30" s="13">
        <v>9.51</v>
      </c>
      <c r="CS30" s="13">
        <v>8.35</v>
      </c>
      <c r="CT30" s="13">
        <v>8.2250000000000014</v>
      </c>
      <c r="CU30" s="13">
        <v>8.1999999999999993</v>
      </c>
      <c r="CV30" s="13">
        <v>7.43</v>
      </c>
      <c r="CW30" s="14">
        <v>19.532187687660148</v>
      </c>
      <c r="CX30" s="14">
        <v>269.54534421920596</v>
      </c>
      <c r="CY30" s="14">
        <v>314.43830440888252</v>
      </c>
      <c r="CZ30" s="14">
        <v>397.15532939689302</v>
      </c>
      <c r="DA30" s="14">
        <v>296.42920765195004</v>
      </c>
      <c r="DB30" s="14">
        <v>343.54887235002298</v>
      </c>
      <c r="DC30" s="14">
        <v>233.05092042963253</v>
      </c>
      <c r="DD30" s="14">
        <v>376.98876843196297</v>
      </c>
      <c r="DE30" s="14">
        <v>103.82981753175051</v>
      </c>
      <c r="DF30" s="14">
        <v>46.925941897113347</v>
      </c>
      <c r="DG30" s="14">
        <v>313.76643516680497</v>
      </c>
      <c r="DH30" s="14">
        <v>456.60674197781998</v>
      </c>
      <c r="DI30" s="14">
        <v>452.28449878603851</v>
      </c>
      <c r="DJ30" s="14">
        <v>490.4070126774235</v>
      </c>
      <c r="DK30" s="14">
        <v>359.12370213471399</v>
      </c>
      <c r="DL30" s="14">
        <v>303.91967697367249</v>
      </c>
      <c r="DM30" s="14">
        <v>250.79310350417148</v>
      </c>
      <c r="DN30" s="14">
        <v>138.53850797324651</v>
      </c>
      <c r="DO30" s="13">
        <v>7.8403124999999996</v>
      </c>
      <c r="DP30" s="13">
        <v>8.3937500000000007</v>
      </c>
      <c r="DQ30" s="13">
        <v>286.60471868728195</v>
      </c>
      <c r="DR30" s="13">
        <v>339.9541745194781</v>
      </c>
      <c r="DS30" s="13">
        <v>410.21404908431089</v>
      </c>
      <c r="DT30" s="13">
        <v>378.01779806250931</v>
      </c>
      <c r="DU30" s="19">
        <v>-32.196251021801572</v>
      </c>
      <c r="DV30" s="13">
        <v>0.48930483363939103</v>
      </c>
      <c r="DW30" s="13">
        <v>0.58217264776370259</v>
      </c>
      <c r="DX30" s="13">
        <v>0.29301604469482301</v>
      </c>
      <c r="DY30" s="13">
        <v>0.14949305922997802</v>
      </c>
      <c r="DZ30" s="13">
        <v>0.10094852002863269</v>
      </c>
      <c r="EA30" s="13">
        <v>5.0293348688099197E-2</v>
      </c>
      <c r="EB30" s="13">
        <v>1.86338666002656E-2</v>
      </c>
      <c r="EC30" s="13">
        <v>0.4344283980204795</v>
      </c>
      <c r="ED30" s="13">
        <v>0.34578184817454549</v>
      </c>
      <c r="EE30" s="13">
        <v>0.17904190917862201</v>
      </c>
      <c r="EF30" s="13">
        <v>0.1030591521678216</v>
      </c>
      <c r="EG30" s="13">
        <v>8.1952830775932795E-2</v>
      </c>
      <c r="EH30" s="13">
        <v>3.55189237137769E-2</v>
      </c>
      <c r="EI30" s="13">
        <v>3.9740187992154702E-2</v>
      </c>
      <c r="EJ30" s="20">
        <v>152.49618062143108</v>
      </c>
      <c r="EK30" s="20">
        <v>1170.8441182752949</v>
      </c>
      <c r="EL30" s="20">
        <v>1919.3298524508837</v>
      </c>
      <c r="EM30" s="20">
        <v>2662.7238469382009</v>
      </c>
      <c r="EN30" s="20">
        <v>1883.6876746329956</v>
      </c>
      <c r="EO30" s="20">
        <v>2148.4581384230028</v>
      </c>
      <c r="EP30" s="20">
        <v>1603.6419917781868</v>
      </c>
      <c r="EQ30" s="20">
        <v>279.78967282816387</v>
      </c>
      <c r="ER30" s="20">
        <v>1522.1741567658771</v>
      </c>
      <c r="ES30" s="20">
        <v>2189.1920559291557</v>
      </c>
      <c r="ET30" s="20">
        <v>2530.3386150432011</v>
      </c>
      <c r="EU30" s="20">
        <v>2571.0725325493549</v>
      </c>
      <c r="EV30" s="20">
        <v>1868.0195927309001</v>
      </c>
      <c r="EW30" s="20">
        <v>1761.4859221145323</v>
      </c>
      <c r="EX30" s="20">
        <v>2376.6135759163899</v>
      </c>
      <c r="EY30" s="20">
        <v>2381.5963847924718</v>
      </c>
      <c r="EZ30" s="20">
        <v>2888.6847059165889</v>
      </c>
      <c r="FA30" s="20">
        <v>3295.5277625989461</v>
      </c>
      <c r="FB30" s="11">
        <v>0.62540749201690837</v>
      </c>
      <c r="FC30" s="11">
        <v>1.005565781687078</v>
      </c>
      <c r="FD30" s="11">
        <v>1.6400291690381334</v>
      </c>
      <c r="FE30" s="11">
        <v>1.1035639293693187</v>
      </c>
      <c r="FF30" s="11">
        <v>1.2150480521006028</v>
      </c>
      <c r="FG30" s="11">
        <v>3.7200218248555341</v>
      </c>
      <c r="FH30" s="11">
        <v>2.2514027579500033</v>
      </c>
      <c r="FI30" s="11">
        <v>0.68208101971124491</v>
      </c>
      <c r="FJ30" s="30">
        <v>1.2828495861738751</v>
      </c>
      <c r="FK30" s="30">
        <v>5.3354098791068463</v>
      </c>
      <c r="FL30" s="30">
        <v>3.5346344399685146</v>
      </c>
      <c r="FM30" s="19">
        <v>15.189038634321655</v>
      </c>
      <c r="FN30" s="19">
        <v>0.78798017659933095</v>
      </c>
      <c r="FO30" s="19">
        <v>19.275914655458291</v>
      </c>
      <c r="FP30" s="19">
        <v>3.4932653116311707</v>
      </c>
      <c r="FQ30" s="30">
        <v>0.81149662145972112</v>
      </c>
      <c r="FR30" s="30">
        <v>2.1972890712138691</v>
      </c>
      <c r="FS30" s="50">
        <v>23.898739942850835</v>
      </c>
      <c r="FT30" s="50">
        <v>30.104726014966957</v>
      </c>
      <c r="FU30" s="20">
        <v>493.6259782191828</v>
      </c>
      <c r="FV30" s="20">
        <v>8097.8308530109098</v>
      </c>
      <c r="FW30" s="20">
        <v>327.69593013693441</v>
      </c>
      <c r="FX30" s="20">
        <v>4035.8865928200948</v>
      </c>
      <c r="FY30" s="20">
        <v>2531.0902570567478</v>
      </c>
      <c r="FZ30" s="20">
        <v>9343.5618146808392</v>
      </c>
      <c r="GA30" s="20">
        <v>57.177681638112134</v>
      </c>
      <c r="GB30" s="20">
        <v>68.027071413428445</v>
      </c>
      <c r="GC30" s="20">
        <v>82.348152656192482</v>
      </c>
      <c r="GD30" s="20">
        <v>4994.276203894804</v>
      </c>
      <c r="GE30" s="20">
        <v>87.8580887812697</v>
      </c>
      <c r="GF30" s="20">
        <v>284.61580306274038</v>
      </c>
      <c r="GG30" s="20">
        <v>100.79373506544995</v>
      </c>
      <c r="GH30" s="20">
        <v>703.71636722603353</v>
      </c>
      <c r="GI30" s="20">
        <v>31208.504529662743</v>
      </c>
      <c r="GJ30" s="20">
        <v>650.257052363404</v>
      </c>
      <c r="GK30" s="20">
        <v>14621.253520594846</v>
      </c>
      <c r="GL30" s="20">
        <v>423.61824711479545</v>
      </c>
      <c r="GM30" s="20">
        <v>9794.1237882500391</v>
      </c>
      <c r="GN30" s="20">
        <v>4868.0803087350878</v>
      </c>
      <c r="GO30" s="20">
        <v>24069.924344432904</v>
      </c>
      <c r="GP30" s="20">
        <v>53.763555523814965</v>
      </c>
      <c r="GQ30" s="20">
        <v>184.16593956125385</v>
      </c>
      <c r="GR30" s="20">
        <v>175.15520518877767</v>
      </c>
      <c r="GS30" s="20">
        <v>8889.8458293658423</v>
      </c>
      <c r="GT30" s="20">
        <v>100.70900927794251</v>
      </c>
      <c r="GU30" s="20">
        <v>694.84359317982671</v>
      </c>
      <c r="GV30" s="20">
        <v>79.220205034637416</v>
      </c>
      <c r="GW30" s="20">
        <v>1361.1137449215039</v>
      </c>
      <c r="GX30" s="20">
        <v>65966.074343544664</v>
      </c>
      <c r="GY30" s="10">
        <v>3.69382206</v>
      </c>
    </row>
    <row r="31" spans="1:207" s="21" customFormat="1" x14ac:dyDescent="0.25">
      <c r="A31" s="18">
        <v>6</v>
      </c>
      <c r="B31" s="25">
        <v>174.6</v>
      </c>
      <c r="C31" s="25">
        <v>91.1</v>
      </c>
      <c r="D31" s="24">
        <v>94.1</v>
      </c>
      <c r="E31" s="25">
        <v>93.7</v>
      </c>
      <c r="F31" s="24">
        <v>29.883392444061307</v>
      </c>
      <c r="G31" s="24">
        <v>30.902866150524211</v>
      </c>
      <c r="H31" s="24">
        <v>30.771504339044832</v>
      </c>
      <c r="I31" s="20">
        <v>93.699999999999989</v>
      </c>
      <c r="J31" s="20">
        <f>AVERAGE(94.2,94)</f>
        <v>94.1</v>
      </c>
      <c r="K31" s="20">
        <f>AVERAGE(94.8,95.1)</f>
        <v>94.949999999999989</v>
      </c>
      <c r="L31" s="20">
        <v>108.25</v>
      </c>
      <c r="M31" s="20">
        <f>AVERAGE(109.4,110.2)</f>
        <v>109.80000000000001</v>
      </c>
      <c r="N31" s="20">
        <f>AVERAGE(110.6,111.2)</f>
        <v>110.9</v>
      </c>
      <c r="O31" s="19">
        <v>34.560644478633485</v>
      </c>
      <c r="P31" s="19">
        <v>33.060642194747928</v>
      </c>
      <c r="Q31" s="19">
        <v>35.933090541673742</v>
      </c>
      <c r="R31" s="20">
        <v>188.05555555555554</v>
      </c>
      <c r="S31" s="20">
        <f>200+((101/180)*25)</f>
        <v>214.02777777777777</v>
      </c>
      <c r="T31" s="20">
        <f>225+((4/180)*25)</f>
        <v>225.55555555555554</v>
      </c>
      <c r="U31" s="19">
        <v>0.34021390060048851</v>
      </c>
      <c r="V31" s="19">
        <v>0.32349363590478886</v>
      </c>
      <c r="W31" s="19">
        <v>0.30902461312876817</v>
      </c>
      <c r="X31" s="20">
        <v>54.015000000000001</v>
      </c>
      <c r="Y31" s="20">
        <v>39.78</v>
      </c>
      <c r="Z31" s="20">
        <v>47.482500000000002</v>
      </c>
      <c r="AA31" s="20">
        <v>61.424999999999997</v>
      </c>
      <c r="AB31" s="20">
        <v>64.545000000000002</v>
      </c>
      <c r="AC31" s="20">
        <v>59.767499999999998</v>
      </c>
      <c r="AD31" s="20">
        <v>98.377499999999998</v>
      </c>
      <c r="AE31" s="20">
        <v>81.607500000000002</v>
      </c>
      <c r="AF31" s="20">
        <v>113.295</v>
      </c>
      <c r="AG31" s="20">
        <v>74.197500000000005</v>
      </c>
      <c r="AH31" s="20">
        <v>104.91</v>
      </c>
      <c r="AI31" s="20">
        <v>120.12</v>
      </c>
      <c r="AJ31" s="20">
        <v>153.07499999999999</v>
      </c>
      <c r="AK31" s="20">
        <v>166.6275</v>
      </c>
      <c r="AL31" s="20">
        <v>93.99</v>
      </c>
      <c r="AM31" s="20">
        <v>144.39750000000001</v>
      </c>
      <c r="AN31" s="20">
        <v>1477.6125</v>
      </c>
      <c r="AO31" s="20">
        <v>237.68</v>
      </c>
      <c r="AP31" s="20">
        <v>236.08</v>
      </c>
      <c r="AQ31" s="20">
        <v>212.48</v>
      </c>
      <c r="AR31" s="20">
        <v>309.68</v>
      </c>
      <c r="AS31" s="20">
        <v>307.39999999999998</v>
      </c>
      <c r="AT31" s="20">
        <v>302.8</v>
      </c>
      <c r="AU31" s="20">
        <v>342.2</v>
      </c>
      <c r="AV31" s="20">
        <v>358</v>
      </c>
      <c r="AW31" s="20">
        <v>317.72000000000003</v>
      </c>
      <c r="AX31" s="20">
        <v>426.72</v>
      </c>
      <c r="AY31" s="20">
        <v>383.84</v>
      </c>
      <c r="AZ31" s="20">
        <v>368.44</v>
      </c>
      <c r="BA31" s="20">
        <v>322.12</v>
      </c>
      <c r="BB31" s="20">
        <v>324.12</v>
      </c>
      <c r="BC31" s="20">
        <v>384.88</v>
      </c>
      <c r="BD31" s="20">
        <v>342.44</v>
      </c>
      <c r="BE31" s="23">
        <v>5176.6000000000004</v>
      </c>
      <c r="BF31" s="20">
        <v>291.69499999999999</v>
      </c>
      <c r="BG31" s="20">
        <v>275.86</v>
      </c>
      <c r="BH31" s="20">
        <v>259.96249999999998</v>
      </c>
      <c r="BI31" s="20">
        <v>371.10500000000002</v>
      </c>
      <c r="BJ31" s="20">
        <v>371.94499999999999</v>
      </c>
      <c r="BK31" s="20">
        <v>362.5675</v>
      </c>
      <c r="BL31" s="20">
        <v>440.57749999999999</v>
      </c>
      <c r="BM31" s="20">
        <v>439.60750000000002</v>
      </c>
      <c r="BN31" s="20">
        <v>431.01499999999999</v>
      </c>
      <c r="BO31" s="20">
        <v>500.91750000000002</v>
      </c>
      <c r="BP31" s="20">
        <v>488.75</v>
      </c>
      <c r="BQ31" s="20">
        <v>488.56</v>
      </c>
      <c r="BR31" s="20">
        <v>475.19499999999999</v>
      </c>
      <c r="BS31" s="20">
        <v>490.7475</v>
      </c>
      <c r="BT31" s="20">
        <v>478.87</v>
      </c>
      <c r="BU31" s="20">
        <v>486.83749999999998</v>
      </c>
      <c r="BV31" s="23">
        <v>6654.2124999999996</v>
      </c>
      <c r="BW31" s="19">
        <v>1.3390000000000002</v>
      </c>
      <c r="BX31" s="19">
        <v>1.0930000000000002</v>
      </c>
      <c r="BY31" s="25">
        <v>0.81</v>
      </c>
      <c r="BZ31" s="25">
        <v>0.78</v>
      </c>
      <c r="CA31" s="19">
        <v>2.42</v>
      </c>
      <c r="CB31" s="19">
        <v>2.31</v>
      </c>
      <c r="CC31" s="20">
        <v>21</v>
      </c>
      <c r="CD31" s="20">
        <v>17</v>
      </c>
      <c r="CE31" s="13">
        <v>5.73</v>
      </c>
      <c r="CF31" s="13">
        <v>7.665</v>
      </c>
      <c r="CG31" s="13">
        <v>8.81</v>
      </c>
      <c r="CH31" s="13">
        <v>7.92</v>
      </c>
      <c r="CI31" s="13">
        <v>7.48</v>
      </c>
      <c r="CJ31" s="13">
        <v>7.86</v>
      </c>
      <c r="CK31" s="13">
        <v>8.8350000000000009</v>
      </c>
      <c r="CL31" s="13">
        <v>7.9350000000000005</v>
      </c>
      <c r="CM31" s="13">
        <v>7.91</v>
      </c>
      <c r="CN31" s="13">
        <v>5.6400000000000006</v>
      </c>
      <c r="CO31" s="13">
        <v>9.25</v>
      </c>
      <c r="CP31" s="13">
        <v>10.18</v>
      </c>
      <c r="CQ31" s="13">
        <v>7.5149999999999997</v>
      </c>
      <c r="CR31" s="13">
        <v>7.68</v>
      </c>
      <c r="CS31" s="13">
        <v>8.33</v>
      </c>
      <c r="CT31" s="13">
        <v>7.6950000000000003</v>
      </c>
      <c r="CU31" s="13">
        <v>8.6</v>
      </c>
      <c r="CV31" s="13">
        <v>8.0449999999999999</v>
      </c>
      <c r="CW31" s="14">
        <v>54.954318310919447</v>
      </c>
      <c r="CX31" s="14">
        <v>503.93427611635497</v>
      </c>
      <c r="CY31" s="14">
        <v>585.54117773231656</v>
      </c>
      <c r="CZ31" s="14">
        <v>394.88665689269249</v>
      </c>
      <c r="DA31" s="14">
        <v>323.89984249475998</v>
      </c>
      <c r="DB31" s="14">
        <v>235.31342481528901</v>
      </c>
      <c r="DC31" s="14">
        <v>307.51436547994047</v>
      </c>
      <c r="DD31" s="14">
        <v>380.64250378394951</v>
      </c>
      <c r="DE31" s="14">
        <v>187.96775675623965</v>
      </c>
      <c r="DF31" s="14">
        <v>71.852550679816204</v>
      </c>
      <c r="DG31" s="14">
        <v>417.27178120013502</v>
      </c>
      <c r="DH31" s="14">
        <v>665.59255251825198</v>
      </c>
      <c r="DI31" s="14">
        <v>364.98406509858302</v>
      </c>
      <c r="DJ31" s="14">
        <v>438.32265350387297</v>
      </c>
      <c r="DK31" s="14">
        <v>606.29464538955801</v>
      </c>
      <c r="DL31" s="14">
        <v>282.21349546368799</v>
      </c>
      <c r="DM31" s="14">
        <v>591.43053814237953</v>
      </c>
      <c r="DN31" s="14">
        <v>519.88988794109855</v>
      </c>
      <c r="DO31" s="13">
        <v>7.9156249999999995</v>
      </c>
      <c r="DP31" s="13">
        <v>8.2615624999999984</v>
      </c>
      <c r="DQ31" s="13">
        <v>356.64916060611029</v>
      </c>
      <c r="DR31" s="13">
        <v>457.74761882836572</v>
      </c>
      <c r="DS31" s="13">
        <v>370.72184394175042</v>
      </c>
      <c r="DT31" s="13">
        <v>363.99463462379299</v>
      </c>
      <c r="DU31" s="19">
        <v>-6.7272093179574313</v>
      </c>
      <c r="DV31" s="13">
        <v>0.4112114444894015</v>
      </c>
      <c r="DW31" s="13">
        <v>0.36899880170562399</v>
      </c>
      <c r="DX31" s="13">
        <v>0.15582495564754451</v>
      </c>
      <c r="DY31" s="13">
        <v>5.4514612966477048E-2</v>
      </c>
      <c r="DZ31" s="13">
        <v>6.0846509384043748E-2</v>
      </c>
      <c r="EA31" s="13">
        <v>3.1297659435399097E-2</v>
      </c>
      <c r="EB31" s="13">
        <v>3.55189237137769E-2</v>
      </c>
      <c r="EC31" s="13">
        <v>0.28668414827725652</v>
      </c>
      <c r="ED31" s="13">
        <v>0.19592696629213352</v>
      </c>
      <c r="EE31" s="13">
        <v>9.6727255750255092E-2</v>
      </c>
      <c r="EF31" s="13">
        <v>3.9740187992154702E-2</v>
      </c>
      <c r="EG31" s="13">
        <v>4.81827165489103E-2</v>
      </c>
      <c r="EH31" s="13">
        <v>4.3961452270532497E-2</v>
      </c>
      <c r="EI31" s="13">
        <v>5.4514612966477048E-2</v>
      </c>
      <c r="EJ31" s="20">
        <v>137.22096155662305</v>
      </c>
      <c r="EK31" s="20">
        <v>1486.5319789479915</v>
      </c>
      <c r="EL31" s="20">
        <v>2586.3477516141629</v>
      </c>
      <c r="EM31" s="20">
        <v>2214.6507543705047</v>
      </c>
      <c r="EN31" s="20">
        <v>1741.1189633614551</v>
      </c>
      <c r="EO31" s="20">
        <v>1786.9446205558804</v>
      </c>
      <c r="EP31" s="20">
        <v>2041.531604969344</v>
      </c>
      <c r="EQ31" s="20">
        <v>407.08316503489732</v>
      </c>
      <c r="ER31" s="20">
        <v>1924.4215921391522</v>
      </c>
      <c r="ES31" s="20">
        <v>1343.9632676764518</v>
      </c>
      <c r="ET31" s="20">
        <v>2891.8521329103196</v>
      </c>
      <c r="EU31" s="20">
        <v>2576.1642722376228</v>
      </c>
      <c r="EV31" s="20">
        <v>2576.1642722376228</v>
      </c>
      <c r="EW31" s="20">
        <v>3299.191307971867</v>
      </c>
      <c r="EX31" s="20">
        <v>2770.2107115146955</v>
      </c>
      <c r="EY31" s="20">
        <v>2801.8970457585069</v>
      </c>
      <c r="EZ31" s="20">
        <v>3050.1979552589351</v>
      </c>
      <c r="FA31" s="20">
        <v>3754.3187612108613</v>
      </c>
      <c r="FB31" s="11" t="s">
        <v>59</v>
      </c>
      <c r="FC31" s="11">
        <v>0.98584831340163381</v>
      </c>
      <c r="FD31" s="11">
        <v>0.9411192591387042</v>
      </c>
      <c r="FE31" s="11">
        <v>1.6371224618425606</v>
      </c>
      <c r="FF31" s="11">
        <v>1.3023653200684937</v>
      </c>
      <c r="FG31" s="11">
        <v>1.5224511986606482</v>
      </c>
      <c r="FH31" s="11">
        <v>2.0198737424786946</v>
      </c>
      <c r="FI31" s="11">
        <v>1.3629332339848708</v>
      </c>
      <c r="FJ31" s="30">
        <v>1.6350264718571637</v>
      </c>
      <c r="FK31" s="30">
        <v>1.3434529649093505</v>
      </c>
      <c r="FL31" s="30">
        <v>1.7395210256973292</v>
      </c>
      <c r="FM31" s="19">
        <v>2.64</v>
      </c>
      <c r="FN31" s="19">
        <v>1.22</v>
      </c>
      <c r="FO31" s="19">
        <v>2.1639344262295084</v>
      </c>
      <c r="FP31" s="19">
        <v>3.1741836313875456</v>
      </c>
      <c r="FQ31" s="30">
        <v>2.4395373291272344</v>
      </c>
      <c r="FR31" s="30">
        <v>2.2387397705733871</v>
      </c>
      <c r="FS31" s="50">
        <v>26.078110179185192</v>
      </c>
      <c r="FT31" s="50">
        <v>38.431565125489733</v>
      </c>
      <c r="FU31" s="20">
        <v>574.58942990999685</v>
      </c>
      <c r="FV31" s="20">
        <v>13483.436278150039</v>
      </c>
      <c r="FW31" s="20">
        <v>428.52230102076072</v>
      </c>
      <c r="FX31" s="20">
        <v>8307.6117965579506</v>
      </c>
      <c r="FY31" s="20">
        <v>4134.2746275700238</v>
      </c>
      <c r="FZ31" s="20">
        <v>20459.02515086249</v>
      </c>
      <c r="GA31" s="20">
        <v>58.717098234608748</v>
      </c>
      <c r="GB31" s="20">
        <v>141.3922921742577</v>
      </c>
      <c r="GC31" s="20">
        <v>120.5988550430356</v>
      </c>
      <c r="GD31" s="20">
        <v>8366.738730278179</v>
      </c>
      <c r="GE31" s="20">
        <v>81.941721513813334</v>
      </c>
      <c r="GF31" s="20">
        <v>403.61707821679005</v>
      </c>
      <c r="GG31" s="20">
        <v>70.425489534508372</v>
      </c>
      <c r="GH31" s="20">
        <v>889.04275254694971</v>
      </c>
      <c r="GI31" s="20">
        <v>57519.933601613397</v>
      </c>
      <c r="GJ31" s="20">
        <v>418.60597909800634</v>
      </c>
      <c r="GK31" s="20">
        <v>12756.385477846388</v>
      </c>
      <c r="GL31" s="20">
        <v>345.02003639577458</v>
      </c>
      <c r="GM31" s="20">
        <v>11040.617838106662</v>
      </c>
      <c r="GN31" s="20">
        <v>5047.7592918024884</v>
      </c>
      <c r="GO31" s="20">
        <v>24636.340160613992</v>
      </c>
      <c r="GP31" s="20">
        <v>34.038247798397002</v>
      </c>
      <c r="GQ31" s="20">
        <v>217.18287042771587</v>
      </c>
      <c r="GR31" s="20">
        <v>111.25999462233777</v>
      </c>
      <c r="GS31" s="20">
        <v>9955.8822023825323</v>
      </c>
      <c r="GT31" s="20">
        <v>42.048135593765814</v>
      </c>
      <c r="GU31" s="20">
        <v>409.48780662898946</v>
      </c>
      <c r="GV31" s="20">
        <v>33.044581595155208</v>
      </c>
      <c r="GW31" s="20">
        <v>924.07427451301737</v>
      </c>
      <c r="GX31" s="20">
        <v>65971.746897425212</v>
      </c>
      <c r="GY31" s="10">
        <v>3.7357734300000001</v>
      </c>
    </row>
    <row r="32" spans="1:207" s="21" customFormat="1" x14ac:dyDescent="0.25">
      <c r="A32" s="18">
        <v>7</v>
      </c>
      <c r="B32" s="24">
        <v>178</v>
      </c>
      <c r="C32" s="25">
        <v>92.2</v>
      </c>
      <c r="D32" s="24">
        <v>90.6</v>
      </c>
      <c r="E32" s="24">
        <v>91</v>
      </c>
      <c r="F32" s="24">
        <v>29.099861128645372</v>
      </c>
      <c r="G32" s="24">
        <v>28.2762710277457</v>
      </c>
      <c r="H32" s="24">
        <v>28.721121070571897</v>
      </c>
      <c r="I32" s="20">
        <v>100.35</v>
      </c>
      <c r="J32" s="20">
        <f>AVERAGE(99.7,100.1)</f>
        <v>99.9</v>
      </c>
      <c r="K32" s="20">
        <f>AVERAGE(98.3,98.5)</f>
        <v>98.4</v>
      </c>
      <c r="L32" s="20">
        <v>109.6</v>
      </c>
      <c r="M32" s="20">
        <f>AVERAGE(108.8,108.9)</f>
        <v>108.85</v>
      </c>
      <c r="N32" s="20">
        <f>AVERAGE(108.6,108.8)</f>
        <v>108.69999999999999</v>
      </c>
      <c r="O32" s="19">
        <v>29.936945262708161</v>
      </c>
      <c r="P32" s="19">
        <v>32.403382757435672</v>
      </c>
      <c r="Q32" s="19">
        <v>33.6911796072255</v>
      </c>
      <c r="R32" s="20">
        <v>174.44444444444446</v>
      </c>
      <c r="S32" s="20">
        <f>175+((101/180)*25)</f>
        <v>189.02777777777777</v>
      </c>
      <c r="T32" s="20">
        <f>200+((63/180)*25)</f>
        <v>208.75</v>
      </c>
      <c r="U32" s="19">
        <v>0.27926633639819931</v>
      </c>
      <c r="V32" s="19">
        <v>0.31302073755703463</v>
      </c>
      <c r="W32" s="19">
        <v>0.24625999715924252</v>
      </c>
      <c r="X32" s="20">
        <v>42.51</v>
      </c>
      <c r="Y32" s="20">
        <v>32.467500000000001</v>
      </c>
      <c r="Z32" s="20">
        <v>35.392499999999998</v>
      </c>
      <c r="AA32" s="20">
        <v>14.5275</v>
      </c>
      <c r="AB32" s="20">
        <v>41.34</v>
      </c>
      <c r="AC32" s="20">
        <v>9.36</v>
      </c>
      <c r="AD32" s="20">
        <v>29.5425</v>
      </c>
      <c r="AE32" s="20">
        <v>95.355000000000004</v>
      </c>
      <c r="AF32" s="20">
        <v>70.492500000000007</v>
      </c>
      <c r="AG32" s="20">
        <v>101.79</v>
      </c>
      <c r="AH32" s="20">
        <v>80.73</v>
      </c>
      <c r="AI32" s="20">
        <v>7.02</v>
      </c>
      <c r="AJ32" s="20">
        <v>32.467500000000001</v>
      </c>
      <c r="AK32" s="20">
        <v>44.557499999999997</v>
      </c>
      <c r="AL32" s="20">
        <v>38.805</v>
      </c>
      <c r="AM32" s="20">
        <v>70.98</v>
      </c>
      <c r="AN32" s="20">
        <v>747.33749999999998</v>
      </c>
      <c r="AO32" s="20">
        <v>207.88</v>
      </c>
      <c r="AP32" s="20">
        <v>217.52</v>
      </c>
      <c r="AQ32" s="20">
        <v>227.36</v>
      </c>
      <c r="AR32" s="20">
        <v>332</v>
      </c>
      <c r="AS32" s="20">
        <v>303.24</v>
      </c>
      <c r="AT32" s="20">
        <v>323.88</v>
      </c>
      <c r="AU32" s="20">
        <v>396.76</v>
      </c>
      <c r="AV32" s="20">
        <v>336</v>
      </c>
      <c r="AW32" s="20">
        <v>364.32</v>
      </c>
      <c r="AX32" s="20">
        <v>415.08</v>
      </c>
      <c r="AY32" s="20">
        <v>418.92</v>
      </c>
      <c r="AZ32" s="20">
        <v>443</v>
      </c>
      <c r="BA32" s="20">
        <v>449.28</v>
      </c>
      <c r="BB32" s="20">
        <v>435.24</v>
      </c>
      <c r="BC32" s="20">
        <v>447.4</v>
      </c>
      <c r="BD32" s="20">
        <v>425.88</v>
      </c>
      <c r="BE32" s="23">
        <v>5743.76</v>
      </c>
      <c r="BF32" s="20">
        <v>250.39</v>
      </c>
      <c r="BG32" s="20">
        <v>249.98750000000001</v>
      </c>
      <c r="BH32" s="20">
        <v>262.7525</v>
      </c>
      <c r="BI32" s="20">
        <v>346.52749999999997</v>
      </c>
      <c r="BJ32" s="20">
        <v>344.58</v>
      </c>
      <c r="BK32" s="20">
        <v>333.24</v>
      </c>
      <c r="BL32" s="20">
        <v>426.30250000000001</v>
      </c>
      <c r="BM32" s="20">
        <v>431.35500000000002</v>
      </c>
      <c r="BN32" s="20">
        <v>434.8125</v>
      </c>
      <c r="BO32" s="20">
        <v>516.87</v>
      </c>
      <c r="BP32" s="20">
        <v>499.65</v>
      </c>
      <c r="BQ32" s="20">
        <v>450.02</v>
      </c>
      <c r="BR32" s="20">
        <v>481.7475</v>
      </c>
      <c r="BS32" s="20">
        <v>479.79750000000001</v>
      </c>
      <c r="BT32" s="20">
        <v>486.20499999999998</v>
      </c>
      <c r="BU32" s="20">
        <v>496.86</v>
      </c>
      <c r="BV32" s="23">
        <v>6491.0974999999989</v>
      </c>
      <c r="BW32" s="19">
        <v>0.90899999999999992</v>
      </c>
      <c r="BX32" s="19">
        <v>0.51500000000000001</v>
      </c>
      <c r="BY32" s="25">
        <v>0.92</v>
      </c>
      <c r="BZ32" s="25">
        <v>0.84</v>
      </c>
      <c r="CA32" s="19">
        <v>2.46</v>
      </c>
      <c r="CB32" s="19">
        <v>1.89</v>
      </c>
      <c r="CC32" s="20">
        <v>41</v>
      </c>
      <c r="CD32" s="20">
        <v>35</v>
      </c>
      <c r="CE32" s="13">
        <v>5.9</v>
      </c>
      <c r="CF32" s="13">
        <v>7.915</v>
      </c>
      <c r="CG32" s="13">
        <v>11.115</v>
      </c>
      <c r="CH32" s="13">
        <v>12.510000000000002</v>
      </c>
      <c r="CI32" s="13">
        <v>12.205</v>
      </c>
      <c r="CJ32" s="13">
        <v>11.280000000000001</v>
      </c>
      <c r="CK32" s="13">
        <v>9.66</v>
      </c>
      <c r="CL32" s="13">
        <v>8.3150000000000013</v>
      </c>
      <c r="CM32" s="13">
        <v>7.43</v>
      </c>
      <c r="CN32" s="13">
        <v>5.4250000000000007</v>
      </c>
      <c r="CO32" s="13">
        <v>6.1300000000000008</v>
      </c>
      <c r="CP32" s="13">
        <v>7.8550000000000004</v>
      </c>
      <c r="CQ32" s="13">
        <v>8.620000000000001</v>
      </c>
      <c r="CR32" s="13">
        <v>8.73</v>
      </c>
      <c r="CS32" s="13">
        <v>9.08</v>
      </c>
      <c r="CT32" s="13">
        <v>8.67</v>
      </c>
      <c r="CU32" s="13">
        <v>8.3350000000000009</v>
      </c>
      <c r="CV32" s="13">
        <v>8.35</v>
      </c>
      <c r="CW32" s="14">
        <v>54.046996798286145</v>
      </c>
      <c r="CX32" s="14">
        <v>440.55821778039046</v>
      </c>
      <c r="CY32" s="14">
        <v>731.2603011817605</v>
      </c>
      <c r="CZ32" s="14">
        <v>952.23132632586999</v>
      </c>
      <c r="DA32" s="14">
        <v>1143.69466176583</v>
      </c>
      <c r="DB32" s="14">
        <v>1421.0715199177948</v>
      </c>
      <c r="DC32" s="14">
        <v>1026.71435535147</v>
      </c>
      <c r="DD32" s="14">
        <v>895.38922123531449</v>
      </c>
      <c r="DE32" s="14">
        <v>531.6528770267455</v>
      </c>
      <c r="DF32" s="14">
        <v>15.356059935909599</v>
      </c>
      <c r="DG32" s="14">
        <v>144.644156911696</v>
      </c>
      <c r="DH32" s="14">
        <v>342.37819065022347</v>
      </c>
      <c r="DI32" s="14">
        <v>549.50669316064204</v>
      </c>
      <c r="DJ32" s="14">
        <v>440.24104296078997</v>
      </c>
      <c r="DK32" s="14">
        <v>565.54306540546895</v>
      </c>
      <c r="DL32" s="14">
        <v>452.4271352109505</v>
      </c>
      <c r="DM32" s="14">
        <v>565.54306540546895</v>
      </c>
      <c r="DN32" s="14">
        <v>582.56511912870747</v>
      </c>
      <c r="DO32" s="13">
        <v>9.9581250000000008</v>
      </c>
      <c r="DP32" s="13">
        <v>8.0384375000000006</v>
      </c>
      <c r="DQ32" s="13">
        <v>862.97119255886821</v>
      </c>
      <c r="DR32" s="13">
        <v>419.90549240469352</v>
      </c>
      <c r="DS32" s="13">
        <v>286.6395185955605</v>
      </c>
      <c r="DT32" s="13">
        <v>349.79071853573748</v>
      </c>
      <c r="DU32" s="19">
        <v>63.15119994017698</v>
      </c>
      <c r="DV32" s="13">
        <v>0.36420114756748001</v>
      </c>
      <c r="DW32" s="13">
        <v>0.372969532891547</v>
      </c>
      <c r="DX32" s="13">
        <v>0.32474341360918002</v>
      </c>
      <c r="DY32" s="13">
        <v>0.17568086310004799</v>
      </c>
      <c r="DZ32" s="13">
        <v>0.14937570712784901</v>
      </c>
      <c r="EA32" s="13">
        <v>3.5386697914983001E-2</v>
      </c>
      <c r="EB32" s="13">
        <v>1.34657346048166E-2</v>
      </c>
      <c r="EC32" s="13">
        <v>0.35543276224341402</v>
      </c>
      <c r="ED32" s="13">
        <v>0.368585340229514</v>
      </c>
      <c r="EE32" s="13">
        <v>0.272133101664781</v>
      </c>
      <c r="EF32" s="13">
        <v>0.21513859705834801</v>
      </c>
      <c r="EG32" s="13">
        <v>0.14937570712784901</v>
      </c>
      <c r="EH32" s="13">
        <v>5.2923468563116201E-2</v>
      </c>
      <c r="EI32" s="13">
        <v>1.7849927266849901E-2</v>
      </c>
      <c r="EJ32" s="20">
        <v>705.43893089856601</v>
      </c>
      <c r="EK32" s="20">
        <v>1971.9930248983871</v>
      </c>
      <c r="EL32" s="20">
        <v>3448.9777363966045</v>
      </c>
      <c r="EM32" s="20">
        <v>4449.5157667663707</v>
      </c>
      <c r="EN32" s="20">
        <v>4695.6798853494201</v>
      </c>
      <c r="EO32" s="20">
        <v>5041.1037291675639</v>
      </c>
      <c r="EP32" s="20">
        <v>3333.8364551239119</v>
      </c>
      <c r="EQ32" s="20">
        <v>427.51170024029818</v>
      </c>
      <c r="ER32" s="20">
        <v>852.3433242465062</v>
      </c>
      <c r="ES32" s="20">
        <v>1662.3026821648882</v>
      </c>
      <c r="ET32" s="20">
        <v>2718.4261586663069</v>
      </c>
      <c r="EU32" s="20">
        <v>2742.2484927227315</v>
      </c>
      <c r="EV32" s="20">
        <v>3095.6131145596714</v>
      </c>
      <c r="EW32" s="20">
        <v>1475.6943987229074</v>
      </c>
      <c r="EX32" s="20">
        <v>1789.6301761077625</v>
      </c>
      <c r="EY32" s="20">
        <v>1985.6251988948193</v>
      </c>
      <c r="EZ32" s="20">
        <v>2705.146645281427</v>
      </c>
      <c r="FA32" s="20">
        <v>2951.2942406136467</v>
      </c>
      <c r="FB32" s="11" t="s">
        <v>59</v>
      </c>
      <c r="FC32" s="11">
        <v>1.1724736317701385</v>
      </c>
      <c r="FD32" s="11">
        <v>0.69097725745410821</v>
      </c>
      <c r="FE32" s="11" t="s">
        <v>59</v>
      </c>
      <c r="FF32" s="11">
        <v>1.4143141177825003</v>
      </c>
      <c r="FG32" s="11">
        <v>3.588148014347277</v>
      </c>
      <c r="FH32" s="11">
        <v>1.7153379549393415</v>
      </c>
      <c r="FI32" s="11">
        <v>0.89643793706293717</v>
      </c>
      <c r="FJ32" s="30">
        <v>2.6838273085489122</v>
      </c>
      <c r="FK32" s="30">
        <v>5.1225748232816972</v>
      </c>
      <c r="FL32" s="30">
        <v>3.1461263485761779</v>
      </c>
      <c r="FM32" s="19">
        <v>11.550104178951921</v>
      </c>
      <c r="FN32" s="19">
        <v>0.67</v>
      </c>
      <c r="FO32" s="19">
        <v>17.238961461122269</v>
      </c>
      <c r="FP32" s="19">
        <v>23.878403820544612</v>
      </c>
      <c r="FQ32" s="30">
        <v>1.7154748007917577</v>
      </c>
      <c r="FR32" s="30">
        <v>2.6269315673289184</v>
      </c>
      <c r="FS32" s="50">
        <v>31.165152534170279</v>
      </c>
      <c r="FT32" s="50">
        <v>36.431700347663323</v>
      </c>
      <c r="FU32" s="20">
        <v>311.93881437485118</v>
      </c>
      <c r="FV32" s="20">
        <v>11853.831850274984</v>
      </c>
      <c r="FW32" s="20">
        <v>364.18327883106787</v>
      </c>
      <c r="FX32" s="20">
        <v>7472.6609588490173</v>
      </c>
      <c r="FY32" s="20">
        <v>3082.8905675218498</v>
      </c>
      <c r="FZ32" s="20">
        <v>19336.616089479889</v>
      </c>
      <c r="GA32" s="20">
        <v>49.113699752338469</v>
      </c>
      <c r="GB32" s="20">
        <v>137.83744966444448</v>
      </c>
      <c r="GC32" s="20">
        <v>92.309399548316208</v>
      </c>
      <c r="GD32" s="20">
        <v>7660.242291838349</v>
      </c>
      <c r="GE32" s="20">
        <v>64.180187532789475</v>
      </c>
      <c r="GF32" s="20">
        <v>234.64877808266439</v>
      </c>
      <c r="GG32" s="20">
        <v>56.175410512238805</v>
      </c>
      <c r="GH32" s="20">
        <v>462.63797488836798</v>
      </c>
      <c r="GI32" s="20">
        <v>51179.266751151161</v>
      </c>
      <c r="GJ32" s="20">
        <v>981.6058473283631</v>
      </c>
      <c r="GK32" s="20">
        <v>23896.06362375334</v>
      </c>
      <c r="GL32" s="20">
        <v>1039.7523374346799</v>
      </c>
      <c r="GM32" s="20">
        <v>18615.525420122034</v>
      </c>
      <c r="GN32" s="20">
        <v>8753.9907589114664</v>
      </c>
      <c r="GO32" s="20">
        <v>41616.407081764963</v>
      </c>
      <c r="GP32" s="20">
        <v>124.69740107656324</v>
      </c>
      <c r="GQ32" s="20">
        <v>328.15458024198921</v>
      </c>
      <c r="GR32" s="20">
        <v>331.86219594590591</v>
      </c>
      <c r="GS32" s="20">
        <v>17001.150514161687</v>
      </c>
      <c r="GT32" s="20">
        <v>209.80117750901718</v>
      </c>
      <c r="GU32" s="20">
        <v>855.15535432295735</v>
      </c>
      <c r="GV32" s="20">
        <v>210.15928506124817</v>
      </c>
      <c r="GW32" s="20">
        <v>2214.6750821388569</v>
      </c>
      <c r="GX32" s="20">
        <v>116179.00065977308</v>
      </c>
      <c r="GY32" s="10">
        <v>4.7316372400000004</v>
      </c>
    </row>
    <row r="33" spans="1:207" s="21" customFormat="1" x14ac:dyDescent="0.25">
      <c r="A33" s="18">
        <v>8</v>
      </c>
      <c r="B33" s="25">
        <v>182.5</v>
      </c>
      <c r="C33" s="24">
        <v>119</v>
      </c>
      <c r="D33" s="24">
        <v>120.3</v>
      </c>
      <c r="E33" s="25">
        <v>120.2</v>
      </c>
      <c r="F33" s="24">
        <v>35.729029836742356</v>
      </c>
      <c r="G33" s="24">
        <v>36.079796633512039</v>
      </c>
      <c r="H33" s="24">
        <v>36.089322574591854</v>
      </c>
      <c r="I33" s="20">
        <v>120.65</v>
      </c>
      <c r="J33" s="20">
        <f>AVERAGE(121.4,122)</f>
        <v>121.7</v>
      </c>
      <c r="K33" s="20">
        <f>AVERAGE(121.4,121.2)</f>
        <v>121.30000000000001</v>
      </c>
      <c r="L33" s="20">
        <v>113.5</v>
      </c>
      <c r="M33" s="20">
        <f>AVERAGE(114.2,115)</f>
        <v>114.6</v>
      </c>
      <c r="N33" s="20">
        <f>AVERAGE(114.6,114.8)</f>
        <v>114.69999999999999</v>
      </c>
      <c r="O33" s="19">
        <v>26.915576179287289</v>
      </c>
      <c r="P33" s="19">
        <v>30.247944968095236</v>
      </c>
      <c r="Q33" s="19">
        <v>31.927669352727268</v>
      </c>
      <c r="R33" s="20">
        <v>191.66666666666666</v>
      </c>
      <c r="S33" s="20">
        <f>200+((74/180)*25)</f>
        <v>210.27777777777777</v>
      </c>
      <c r="T33" s="20">
        <f>225+((24/180)*25)</f>
        <v>228.33333333333334</v>
      </c>
      <c r="U33" s="19">
        <v>0.16129709390076785</v>
      </c>
      <c r="V33" s="19">
        <v>0.13741186627971458</v>
      </c>
      <c r="W33" s="19">
        <v>0.27491579142300093</v>
      </c>
      <c r="X33" s="20">
        <v>48.75</v>
      </c>
      <c r="Y33" s="20">
        <v>34.905000000000001</v>
      </c>
      <c r="Z33" s="20">
        <v>31.6875</v>
      </c>
      <c r="AA33" s="20">
        <v>66.787499999999994</v>
      </c>
      <c r="AB33" s="20">
        <v>72.442499999999995</v>
      </c>
      <c r="AC33" s="20">
        <v>88.724999999999994</v>
      </c>
      <c r="AD33" s="20">
        <v>66.105000000000004</v>
      </c>
      <c r="AE33" s="20">
        <v>120.705</v>
      </c>
      <c r="AF33" s="20">
        <v>73.807500000000005</v>
      </c>
      <c r="AG33" s="20">
        <v>120.9</v>
      </c>
      <c r="AH33" s="20">
        <v>141.18</v>
      </c>
      <c r="AI33" s="20">
        <v>98.474999999999994</v>
      </c>
      <c r="AJ33" s="20">
        <v>96.72</v>
      </c>
      <c r="AK33" s="20">
        <v>163.80000000000001</v>
      </c>
      <c r="AL33" s="20">
        <v>115.7325</v>
      </c>
      <c r="AM33" s="20">
        <v>135.52500000000001</v>
      </c>
      <c r="AN33" s="20">
        <v>1476.2475000000002</v>
      </c>
      <c r="AO33" s="20">
        <v>241.84</v>
      </c>
      <c r="AP33" s="20">
        <v>270.44</v>
      </c>
      <c r="AQ33" s="20">
        <v>282.56</v>
      </c>
      <c r="AR33" s="20">
        <v>355.6</v>
      </c>
      <c r="AS33" s="20">
        <v>383.44</v>
      </c>
      <c r="AT33" s="20">
        <v>347.36</v>
      </c>
      <c r="AU33" s="20">
        <v>498.32</v>
      </c>
      <c r="AV33" s="20">
        <v>390.16</v>
      </c>
      <c r="AW33" s="20">
        <v>480.2</v>
      </c>
      <c r="AX33" s="20">
        <v>418.68</v>
      </c>
      <c r="AY33" s="20">
        <v>468.28</v>
      </c>
      <c r="AZ33" s="20">
        <v>467.16</v>
      </c>
      <c r="BA33" s="20">
        <v>422.68</v>
      </c>
      <c r="BB33" s="20">
        <v>447.84</v>
      </c>
      <c r="BC33" s="20">
        <v>436.36</v>
      </c>
      <c r="BD33" s="20">
        <v>429.36</v>
      </c>
      <c r="BE33" s="23">
        <v>6340.28</v>
      </c>
      <c r="BF33" s="20">
        <v>290.58999999999997</v>
      </c>
      <c r="BG33" s="20">
        <v>305.34500000000003</v>
      </c>
      <c r="BH33" s="20">
        <v>314.2475</v>
      </c>
      <c r="BI33" s="20">
        <v>422.38749999999999</v>
      </c>
      <c r="BJ33" s="20">
        <v>455.88249999999999</v>
      </c>
      <c r="BK33" s="20">
        <v>436.08499999999998</v>
      </c>
      <c r="BL33" s="20">
        <v>564.42499999999995</v>
      </c>
      <c r="BM33" s="20">
        <v>510.86500000000001</v>
      </c>
      <c r="BN33" s="20">
        <v>554.00750000000005</v>
      </c>
      <c r="BO33" s="20">
        <v>539.58000000000004</v>
      </c>
      <c r="BP33" s="20">
        <v>609.46</v>
      </c>
      <c r="BQ33" s="20">
        <v>565.63499999999999</v>
      </c>
      <c r="BR33" s="20">
        <v>519.4</v>
      </c>
      <c r="BS33" s="20">
        <v>611.64</v>
      </c>
      <c r="BT33" s="20">
        <v>552.09249999999997</v>
      </c>
      <c r="BU33" s="20">
        <v>564.88499999999999</v>
      </c>
      <c r="BV33" s="23">
        <v>7816.5275000000001</v>
      </c>
      <c r="BW33" s="19">
        <v>1.6950000000000001</v>
      </c>
      <c r="BX33" s="19">
        <v>1.6459999999999999</v>
      </c>
      <c r="BY33" s="25">
        <v>0.96</v>
      </c>
      <c r="BZ33" s="25">
        <v>0.99</v>
      </c>
      <c r="CA33" s="19">
        <v>2.46</v>
      </c>
      <c r="CB33" s="19">
        <v>3.07</v>
      </c>
      <c r="CC33" s="20">
        <v>25</v>
      </c>
      <c r="CD33" s="20">
        <v>34</v>
      </c>
      <c r="CE33" s="13">
        <v>4.82</v>
      </c>
      <c r="CF33" s="13">
        <v>8.4849999999999994</v>
      </c>
      <c r="CG33" s="13">
        <v>10.335000000000001</v>
      </c>
      <c r="CH33" s="13">
        <v>10.6</v>
      </c>
      <c r="CI33" s="13">
        <v>7.78</v>
      </c>
      <c r="CJ33" s="13">
        <v>7.6950000000000003</v>
      </c>
      <c r="CK33" s="13">
        <v>6.1899999999999995</v>
      </c>
      <c r="CL33" s="13">
        <v>5.375</v>
      </c>
      <c r="CM33" s="13">
        <v>4.68</v>
      </c>
      <c r="CN33" s="13">
        <v>4.32</v>
      </c>
      <c r="CO33" s="13">
        <v>7.71</v>
      </c>
      <c r="CP33" s="13">
        <v>8.004999999999999</v>
      </c>
      <c r="CQ33" s="13">
        <v>7.7149999999999999</v>
      </c>
      <c r="CR33" s="13">
        <v>8.5850000000000009</v>
      </c>
      <c r="CS33" s="13">
        <v>8.1950000000000003</v>
      </c>
      <c r="CT33" s="13">
        <v>7.5350000000000001</v>
      </c>
      <c r="CU33" s="13">
        <v>6.8550000000000004</v>
      </c>
      <c r="CV33" s="13">
        <v>5.59</v>
      </c>
      <c r="CW33" s="14">
        <v>158.50408744080602</v>
      </c>
      <c r="CX33" s="14">
        <v>2247.1596745740699</v>
      </c>
      <c r="CY33" s="14">
        <v>2673.8739476358696</v>
      </c>
      <c r="CZ33" s="14">
        <v>2962.1631298444099</v>
      </c>
      <c r="DA33" s="14">
        <v>1662.8614413574219</v>
      </c>
      <c r="DB33" s="14">
        <v>787.97071346730945</v>
      </c>
      <c r="DC33" s="14">
        <v>795.62095998253744</v>
      </c>
      <c r="DD33" s="14">
        <v>360.12690952362749</v>
      </c>
      <c r="DE33" s="14">
        <v>240.36933369543149</v>
      </c>
      <c r="DF33" s="14">
        <v>122.86872982863849</v>
      </c>
      <c r="DG33" s="14">
        <v>1473.980894383488</v>
      </c>
      <c r="DH33" s="14">
        <v>1213.423252008992</v>
      </c>
      <c r="DI33" s="14">
        <v>1071.2848788742549</v>
      </c>
      <c r="DJ33" s="14">
        <v>1425.141083387352</v>
      </c>
      <c r="DK33" s="14">
        <v>1267.2830076828141</v>
      </c>
      <c r="DL33" s="14">
        <v>708.69348397749354</v>
      </c>
      <c r="DM33" s="14">
        <v>286.7085959828035</v>
      </c>
      <c r="DN33" s="14">
        <v>158.50408744080602</v>
      </c>
      <c r="DO33" s="13">
        <v>7.651250000000001</v>
      </c>
      <c r="DP33" s="13">
        <v>7.4443749999999991</v>
      </c>
      <c r="DQ33" s="13">
        <v>1461.1516858691705</v>
      </c>
      <c r="DR33" s="13">
        <v>948.40020061649</v>
      </c>
      <c r="DS33" s="13">
        <v>372.99283256221986</v>
      </c>
      <c r="DT33" s="13">
        <v>414.99632902800101</v>
      </c>
      <c r="DU33" s="19">
        <v>42.003496465781154</v>
      </c>
      <c r="DV33" s="13">
        <v>0.33788927335630298</v>
      </c>
      <c r="DW33" s="13">
        <v>0.27543480240379598</v>
      </c>
      <c r="DX33" s="13">
        <v>0.17550764887978401</v>
      </c>
      <c r="DY33" s="13">
        <v>0.100562283736776</v>
      </c>
      <c r="DZ33" s="13">
        <v>0.113053177927277</v>
      </c>
      <c r="EA33" s="13">
        <v>6.7253232562105303E-2</v>
      </c>
      <c r="EB33" s="13">
        <v>9.6398652339942006E-2</v>
      </c>
      <c r="EC33" s="13">
        <v>0.47528910945181901</v>
      </c>
      <c r="ED33" s="13">
        <v>0.42532553268981299</v>
      </c>
      <c r="EE33" s="13">
        <v>0.29208932799113102</v>
      </c>
      <c r="EF33" s="13">
        <v>0.17550764887978401</v>
      </c>
      <c r="EG33" s="13">
        <v>0.113053177927277</v>
      </c>
      <c r="EH33" s="13">
        <v>6.7253232562105303E-2</v>
      </c>
      <c r="EI33" s="13">
        <v>5.4762338371603901E-2</v>
      </c>
      <c r="EJ33" s="20">
        <v>1475.6943987229074</v>
      </c>
      <c r="EK33" s="20">
        <v>5712.0994717567846</v>
      </c>
      <c r="EL33" s="20">
        <v>6728.5190581641828</v>
      </c>
      <c r="EM33" s="20">
        <v>6613.3777768914579</v>
      </c>
      <c r="EN33" s="20">
        <v>6704.6967241077518</v>
      </c>
      <c r="EO33" s="20">
        <v>5303.1494037882121</v>
      </c>
      <c r="EP33" s="20">
        <v>3022.1609178857034</v>
      </c>
      <c r="EQ33" s="20">
        <v>1507.4575107981384</v>
      </c>
      <c r="ER33" s="20">
        <v>5144.333843412056</v>
      </c>
      <c r="ES33" s="20">
        <v>4992.3407630872525</v>
      </c>
      <c r="ET33" s="20">
        <v>4331.7044412901078</v>
      </c>
      <c r="EU33" s="20">
        <v>3883.7353329263415</v>
      </c>
      <c r="EV33" s="20">
        <v>5993.9970914244659</v>
      </c>
      <c r="EW33" s="20">
        <v>4536.864324973264</v>
      </c>
      <c r="EX33" s="20">
        <v>2911.8672960397444</v>
      </c>
      <c r="EY33" s="20">
        <v>2850.9288165408775</v>
      </c>
      <c r="EZ33" s="20">
        <v>3569.0529519371821</v>
      </c>
      <c r="FA33" s="20">
        <v>4039.0789318096249</v>
      </c>
      <c r="FB33" s="11">
        <v>3.0031217481789807</v>
      </c>
      <c r="FC33" s="11">
        <v>0.8201626016260164</v>
      </c>
      <c r="FD33" s="11">
        <v>2.5095652173913043</v>
      </c>
      <c r="FE33" s="11">
        <v>3.0266666666666668</v>
      </c>
      <c r="FF33" s="11">
        <v>1.0992647058823528</v>
      </c>
      <c r="FG33" s="11" t="s">
        <v>59</v>
      </c>
      <c r="FH33" s="11">
        <v>0.91619047619047622</v>
      </c>
      <c r="FI33" s="11">
        <v>0.93870540019286408</v>
      </c>
      <c r="FJ33" s="30">
        <v>1.735474336793541</v>
      </c>
      <c r="FK33" s="30">
        <v>3.0639709344408605</v>
      </c>
      <c r="FL33" s="30">
        <v>1.1099146110056926</v>
      </c>
      <c r="FM33" s="19">
        <v>28.59316387293093</v>
      </c>
      <c r="FN33" s="19">
        <v>7.57</v>
      </c>
      <c r="FO33" s="19">
        <v>3.7771682791190129</v>
      </c>
      <c r="FP33" s="19">
        <v>3.5264902109948144</v>
      </c>
      <c r="FQ33" s="30">
        <v>1.7143038964344806</v>
      </c>
      <c r="FR33" s="30">
        <v>1.6714201416207712</v>
      </c>
      <c r="FS33" s="50">
        <v>20.354495603500116</v>
      </c>
      <c r="FT33" s="50">
        <v>19.265601258277908</v>
      </c>
      <c r="FU33" s="20">
        <v>379.6699814232</v>
      </c>
      <c r="FV33" s="20">
        <v>10160.659512504755</v>
      </c>
      <c r="FW33" s="20">
        <v>339.73864096060322</v>
      </c>
      <c r="FX33" s="20">
        <v>6572.8870379529444</v>
      </c>
      <c r="FY33" s="20">
        <v>4307.3063461080528</v>
      </c>
      <c r="FZ33" s="20">
        <v>15124.795819195258</v>
      </c>
      <c r="GA33" s="20">
        <v>67.518070459612971</v>
      </c>
      <c r="GB33" s="20">
        <v>114.96444492376779</v>
      </c>
      <c r="GC33" s="20">
        <v>135.87633971353168</v>
      </c>
      <c r="GD33" s="20">
        <v>5769.6512358909522</v>
      </c>
      <c r="GE33" s="20">
        <v>116.98454244925898</v>
      </c>
      <c r="GF33" s="20">
        <v>375.00689532662244</v>
      </c>
      <c r="GG33" s="20">
        <v>69.277637622298215</v>
      </c>
      <c r="GH33" s="20">
        <v>745.31861693253541</v>
      </c>
      <c r="GI33" s="20">
        <v>44279.655121463395</v>
      </c>
      <c r="GJ33" s="20">
        <v>577.28854174303274</v>
      </c>
      <c r="GK33" s="20">
        <v>13779.383017424334</v>
      </c>
      <c r="GL33" s="20">
        <v>563.86524165644403</v>
      </c>
      <c r="GM33" s="20">
        <v>8982.8909545107435</v>
      </c>
      <c r="GN33" s="20">
        <v>5772.7616681819891</v>
      </c>
      <c r="GO33" s="20">
        <v>21517.860846398275</v>
      </c>
      <c r="GP33" s="20">
        <v>139.66225333575593</v>
      </c>
      <c r="GQ33" s="20">
        <v>187.47173176466993</v>
      </c>
      <c r="GR33" s="20">
        <v>256.74020492891862</v>
      </c>
      <c r="GS33" s="20">
        <v>6571.966493734395</v>
      </c>
      <c r="GT33" s="20">
        <v>140.31696845681395</v>
      </c>
      <c r="GU33" s="20">
        <v>460.34558188944192</v>
      </c>
      <c r="GV33" s="20">
        <v>160.76794825695944</v>
      </c>
      <c r="GW33" s="20">
        <v>940.89695582705212</v>
      </c>
      <c r="GX33" s="20">
        <v>60052.218408108834</v>
      </c>
      <c r="GY33" s="10">
        <v>2.6851739800000001</v>
      </c>
    </row>
    <row r="34" spans="1:207" s="21" customFormat="1" x14ac:dyDescent="0.25">
      <c r="A34" s="18">
        <v>9</v>
      </c>
      <c r="B34" s="25">
        <v>183.6</v>
      </c>
      <c r="C34" s="25">
        <v>111.75</v>
      </c>
      <c r="D34" s="24">
        <v>113.4</v>
      </c>
      <c r="E34" s="25">
        <v>114.1</v>
      </c>
      <c r="F34" s="24">
        <v>33.151423241773109</v>
      </c>
      <c r="G34" s="24">
        <v>33.640907343329488</v>
      </c>
      <c r="H34" s="24">
        <v>33.848567265201893</v>
      </c>
      <c r="I34" s="20">
        <v>110.2</v>
      </c>
      <c r="J34" s="20">
        <f>AVERAGE(112.6,112.4)</f>
        <v>112.5</v>
      </c>
      <c r="K34" s="20">
        <f>AVERAGE(111.8,112)</f>
        <v>111.9</v>
      </c>
      <c r="L34" s="20">
        <v>117.85</v>
      </c>
      <c r="M34" s="20">
        <f>AVERAGE(121.4,121.8)</f>
        <v>121.6</v>
      </c>
      <c r="N34" s="20">
        <f>AVERAGE(122.4,121.8)</f>
        <v>122.1</v>
      </c>
      <c r="O34" s="19">
        <v>28.968475729713248</v>
      </c>
      <c r="P34" s="19">
        <v>29.077273927123574</v>
      </c>
      <c r="Q34" s="19">
        <v>37.402900427441914</v>
      </c>
      <c r="R34" s="20">
        <v>213</v>
      </c>
      <c r="S34" s="20">
        <f>200+((120/180)*25)</f>
        <v>216.66666666666666</v>
      </c>
      <c r="T34" s="20">
        <f>225+((102/180)*25)</f>
        <v>239.16666666666666</v>
      </c>
      <c r="U34" s="19">
        <v>0.24699912521667963</v>
      </c>
      <c r="V34" s="19">
        <v>0.27383002249301425</v>
      </c>
      <c r="W34" s="19">
        <v>0.42939306136645788</v>
      </c>
      <c r="X34" s="20">
        <v>75.465000000000003</v>
      </c>
      <c r="Y34" s="20">
        <v>70.2</v>
      </c>
      <c r="Z34" s="20">
        <v>79.95</v>
      </c>
      <c r="AA34" s="20">
        <v>106.27500000000001</v>
      </c>
      <c r="AB34" s="20">
        <v>173.8425</v>
      </c>
      <c r="AC34" s="20">
        <v>202.02</v>
      </c>
      <c r="AD34" s="20">
        <v>176.08500000000001</v>
      </c>
      <c r="AE34" s="20">
        <v>195</v>
      </c>
      <c r="AF34" s="20">
        <v>192.75749999999999</v>
      </c>
      <c r="AG34" s="20">
        <v>137.57249999999999</v>
      </c>
      <c r="AH34" s="20">
        <v>176.76750000000001</v>
      </c>
      <c r="AI34" s="20">
        <v>189.05250000000001</v>
      </c>
      <c r="AJ34" s="20">
        <v>170.91749999999999</v>
      </c>
      <c r="AK34" s="20">
        <v>217.815</v>
      </c>
      <c r="AL34" s="20">
        <v>138.9375</v>
      </c>
      <c r="AM34" s="20">
        <v>120.80249999999999</v>
      </c>
      <c r="AN34" s="20">
        <v>2423.4599999999996</v>
      </c>
      <c r="AO34" s="20">
        <v>243.04</v>
      </c>
      <c r="AP34" s="20">
        <v>263.12</v>
      </c>
      <c r="AQ34" s="20">
        <v>246.08</v>
      </c>
      <c r="AR34" s="20">
        <v>324.36</v>
      </c>
      <c r="AS34" s="20">
        <v>251.36</v>
      </c>
      <c r="AT34" s="20">
        <v>224.04</v>
      </c>
      <c r="AU34" s="20">
        <v>356.32</v>
      </c>
      <c r="AV34" s="20">
        <v>331.96</v>
      </c>
      <c r="AW34" s="20">
        <v>331.24</v>
      </c>
      <c r="AX34" s="20">
        <v>457.72</v>
      </c>
      <c r="AY34" s="20">
        <v>403.36</v>
      </c>
      <c r="AZ34" s="20">
        <v>386.64</v>
      </c>
      <c r="BA34" s="20">
        <v>424.96</v>
      </c>
      <c r="BB34" s="20">
        <v>376.72</v>
      </c>
      <c r="BC34" s="20">
        <v>477</v>
      </c>
      <c r="BD34" s="20">
        <v>471.16</v>
      </c>
      <c r="BE34" s="23">
        <v>5569.08</v>
      </c>
      <c r="BF34" s="20">
        <v>318.505</v>
      </c>
      <c r="BG34" s="20">
        <v>333.32</v>
      </c>
      <c r="BH34" s="20">
        <v>326.02999999999997</v>
      </c>
      <c r="BI34" s="20">
        <v>430.63499999999999</v>
      </c>
      <c r="BJ34" s="20">
        <v>425.20249999999999</v>
      </c>
      <c r="BK34" s="20">
        <v>426.06</v>
      </c>
      <c r="BL34" s="20">
        <v>532.40499999999997</v>
      </c>
      <c r="BM34" s="20">
        <v>526.96</v>
      </c>
      <c r="BN34" s="20">
        <v>523.99749999999995</v>
      </c>
      <c r="BO34" s="20">
        <v>595.29250000000002</v>
      </c>
      <c r="BP34" s="20">
        <v>580.12750000000005</v>
      </c>
      <c r="BQ34" s="20">
        <v>575.6925</v>
      </c>
      <c r="BR34" s="20">
        <v>595.87750000000005</v>
      </c>
      <c r="BS34" s="20">
        <v>594.53499999999997</v>
      </c>
      <c r="BT34" s="20">
        <v>615.9375</v>
      </c>
      <c r="BU34" s="20">
        <v>591.96249999999998</v>
      </c>
      <c r="BV34" s="23">
        <v>7992.5399999999991</v>
      </c>
      <c r="BW34" s="19">
        <v>1.107</v>
      </c>
      <c r="BX34" s="19">
        <v>0.745</v>
      </c>
      <c r="BY34" s="25">
        <v>1.02</v>
      </c>
      <c r="BZ34" s="25">
        <v>1.1000000000000001</v>
      </c>
      <c r="CA34" s="19">
        <v>2.98</v>
      </c>
      <c r="CB34" s="19">
        <v>2.67</v>
      </c>
      <c r="CC34" s="20">
        <v>33</v>
      </c>
      <c r="CD34" s="20">
        <v>25</v>
      </c>
      <c r="CE34" s="13">
        <v>6.5649999999999995</v>
      </c>
      <c r="CF34" s="13">
        <v>8.99</v>
      </c>
      <c r="CG34" s="13">
        <v>10.484999999999999</v>
      </c>
      <c r="CH34" s="13">
        <v>10.565000000000001</v>
      </c>
      <c r="CI34" s="13">
        <v>10.524999999999999</v>
      </c>
      <c r="CJ34" s="13">
        <v>10.219999999999999</v>
      </c>
      <c r="CK34" s="13">
        <v>9.3049999999999997</v>
      </c>
      <c r="CL34" s="13">
        <v>8.0949999999999989</v>
      </c>
      <c r="CM34" s="13">
        <v>7.3550000000000004</v>
      </c>
      <c r="CN34" s="13">
        <v>5.0950000000000006</v>
      </c>
      <c r="CO34" s="13">
        <v>6.71</v>
      </c>
      <c r="CP34" s="13">
        <v>8.8099999999999987</v>
      </c>
      <c r="CQ34" s="13">
        <v>9.2899999999999991</v>
      </c>
      <c r="CR34" s="13">
        <v>7.0950000000000006</v>
      </c>
      <c r="CS34" s="13">
        <v>8.0150000000000006</v>
      </c>
      <c r="CT34" s="13">
        <v>6.74</v>
      </c>
      <c r="CU34" s="13">
        <v>7.48</v>
      </c>
      <c r="CV34" s="13">
        <v>6.37</v>
      </c>
      <c r="CW34" s="14">
        <v>47.2164592947424</v>
      </c>
      <c r="CX34" s="14">
        <v>324.78260397971951</v>
      </c>
      <c r="CY34" s="14">
        <v>706.979461965376</v>
      </c>
      <c r="CZ34" s="14">
        <v>548.38384734542706</v>
      </c>
      <c r="DA34" s="14">
        <v>573.37902508707202</v>
      </c>
      <c r="DB34" s="14">
        <v>764.0901329624395</v>
      </c>
      <c r="DC34" s="14">
        <v>494.5836713021385</v>
      </c>
      <c r="DD34" s="14">
        <v>243.761663030465</v>
      </c>
      <c r="DE34" s="14">
        <v>149.56611509646149</v>
      </c>
      <c r="DF34" s="14">
        <v>61.949242267593547</v>
      </c>
      <c r="DG34" s="14">
        <v>263.2186452396935</v>
      </c>
      <c r="DH34" s="14">
        <v>507.47465315309597</v>
      </c>
      <c r="DI34" s="14">
        <v>659.426491520941</v>
      </c>
      <c r="DJ34" s="14">
        <v>345.89611659018703</v>
      </c>
      <c r="DK34" s="14">
        <v>283.34390796465101</v>
      </c>
      <c r="DL34" s="14">
        <v>256.49098143747847</v>
      </c>
      <c r="DM34" s="14">
        <v>115.22316454830499</v>
      </c>
      <c r="DN34" s="14">
        <v>51.081983632427153</v>
      </c>
      <c r="DO34" s="13">
        <v>9.3931250000000013</v>
      </c>
      <c r="DP34" s="13">
        <v>7.4840624999999994</v>
      </c>
      <c r="DQ34" s="13">
        <v>469.2939616085298</v>
      </c>
      <c r="DR34" s="13">
        <v>310.94869667554525</v>
      </c>
      <c r="DS34" s="13">
        <v>312.95474282457752</v>
      </c>
      <c r="DT34" s="13">
        <v>406.34311223867769</v>
      </c>
      <c r="DU34" s="19">
        <v>93.388369414100168</v>
      </c>
      <c r="DV34" s="13">
        <v>0.38486802907530598</v>
      </c>
      <c r="DW34" s="13">
        <v>0.36466649785509553</v>
      </c>
      <c r="DX34" s="13">
        <v>0.28992083234031601</v>
      </c>
      <c r="DY34" s="13">
        <v>0.15053026692086299</v>
      </c>
      <c r="DZ34" s="13">
        <v>0.108107051358421</v>
      </c>
      <c r="EA34" s="13">
        <v>5.9623376429915699E-2</v>
      </c>
      <c r="EB34" s="13">
        <v>5.7603223307894601E-2</v>
      </c>
      <c r="EC34" s="13">
        <v>0.22325577931362101</v>
      </c>
      <c r="ED34" s="13">
        <v>0.20103409497138999</v>
      </c>
      <c r="EE34" s="13">
        <v>0.156590726286926</v>
      </c>
      <c r="EF34" s="13">
        <v>6.7703988917999863E-2</v>
      </c>
      <c r="EG34" s="13">
        <v>4.9522610819810402E-2</v>
      </c>
      <c r="EH34" s="13">
        <v>4.5482304575768302E-2</v>
      </c>
      <c r="EI34" s="13">
        <v>6.9724142040020906E-2</v>
      </c>
      <c r="EJ34" s="20">
        <v>405.33711792677195</v>
      </c>
      <c r="EK34" s="20">
        <v>1808.5005602526942</v>
      </c>
      <c r="EL34" s="20">
        <v>2447.1497017764523</v>
      </c>
      <c r="EM34" s="20">
        <v>2256.0211265759117</v>
      </c>
      <c r="EN34" s="20">
        <v>2307.2995248004463</v>
      </c>
      <c r="EO34" s="20">
        <v>2829.4068521775362</v>
      </c>
      <c r="EP34" s="20">
        <v>1682.6354009742872</v>
      </c>
      <c r="EQ34" s="20">
        <v>447.29217101957425</v>
      </c>
      <c r="ER34" s="20">
        <v>1258.4231974804043</v>
      </c>
      <c r="ES34" s="20">
        <v>1906.3956841358975</v>
      </c>
      <c r="ET34" s="20">
        <v>2857.3768875727365</v>
      </c>
      <c r="EU34" s="20">
        <v>1873.7639761748276</v>
      </c>
      <c r="EV34" s="20">
        <v>1873.7639761748276</v>
      </c>
      <c r="EW34" s="20">
        <v>834.2109939865212</v>
      </c>
      <c r="EX34" s="20">
        <v>3540.4835584314469</v>
      </c>
      <c r="EY34" s="20">
        <v>3072.9777904149291</v>
      </c>
      <c r="EZ34" s="20">
        <v>3564.9267205712149</v>
      </c>
      <c r="FA34" s="20">
        <v>4305.8501802653263</v>
      </c>
      <c r="FB34" s="11">
        <v>3.1441697525552268</v>
      </c>
      <c r="FC34" s="11">
        <v>0.990377344351416</v>
      </c>
      <c r="FD34" s="11">
        <v>1.3801207889899754</v>
      </c>
      <c r="FE34" s="11">
        <v>2.2076668608913033</v>
      </c>
      <c r="FF34" s="11">
        <v>0.99215873169532975</v>
      </c>
      <c r="FG34" s="11">
        <v>3.9367184801381692</v>
      </c>
      <c r="FH34" s="11">
        <v>1.0964775433122587</v>
      </c>
      <c r="FI34" s="11">
        <v>1.3137131313131316</v>
      </c>
      <c r="FJ34" s="30">
        <v>1.5244374342797058</v>
      </c>
      <c r="FK34" s="30">
        <v>0.70831176003589791</v>
      </c>
      <c r="FL34" s="30">
        <v>0.93875728862973762</v>
      </c>
      <c r="FM34" s="19">
        <v>1.1009606545320829</v>
      </c>
      <c r="FN34" s="19">
        <v>1.55</v>
      </c>
      <c r="FO34" s="19">
        <v>0.71029719647231149</v>
      </c>
      <c r="FP34" s="19">
        <v>0.87460040685847118</v>
      </c>
      <c r="FQ34" s="30">
        <v>0.68533275726881415</v>
      </c>
      <c r="FR34" s="30">
        <v>0.93857898715041588</v>
      </c>
      <c r="FS34" s="50">
        <v>18.21940865208402</v>
      </c>
      <c r="FT34" s="50">
        <v>27.813066020447014</v>
      </c>
      <c r="FU34" s="20">
        <v>451.11985717967679</v>
      </c>
      <c r="FV34" s="20">
        <v>12462.118138840449</v>
      </c>
      <c r="FW34" s="20">
        <v>385.32784724652754</v>
      </c>
      <c r="FX34" s="20">
        <v>8336.982572458186</v>
      </c>
      <c r="FY34" s="20">
        <v>4403.7396858935726</v>
      </c>
      <c r="FZ34" s="20">
        <v>21527.853307889905</v>
      </c>
      <c r="GA34" s="20">
        <v>43.335263623849151</v>
      </c>
      <c r="GB34" s="20">
        <v>172.05816231154947</v>
      </c>
      <c r="GC34" s="20">
        <v>128.80462191337696</v>
      </c>
      <c r="GD34" s="20">
        <v>7463.7725974737541</v>
      </c>
      <c r="GE34" s="20">
        <v>52.137344378675081</v>
      </c>
      <c r="GF34" s="20">
        <v>486.38871172892448</v>
      </c>
      <c r="GG34" s="20">
        <v>45.788719391056802</v>
      </c>
      <c r="GH34" s="20">
        <v>943.58681595516532</v>
      </c>
      <c r="GI34" s="20">
        <v>56903.013646284671</v>
      </c>
      <c r="GJ34" s="20">
        <v>647.65947130496136</v>
      </c>
      <c r="GK34" s="20">
        <v>15689.361838335302</v>
      </c>
      <c r="GL34" s="20">
        <v>506.79910240569706</v>
      </c>
      <c r="GM34" s="20">
        <v>10922.685584805331</v>
      </c>
      <c r="GN34" s="20">
        <v>5444.7781837030907</v>
      </c>
      <c r="GO34" s="20">
        <v>26692.295453334249</v>
      </c>
      <c r="GP34" s="20">
        <v>87.472045051922578</v>
      </c>
      <c r="GQ34" s="20">
        <v>234.7669101613559</v>
      </c>
      <c r="GR34" s="20">
        <v>166.80140896525552</v>
      </c>
      <c r="GS34" s="20">
        <v>8544.0192470911479</v>
      </c>
      <c r="GT34" s="20">
        <v>122.82245376036262</v>
      </c>
      <c r="GU34" s="20">
        <v>696.06118408230304</v>
      </c>
      <c r="GV34" s="20">
        <v>102.08161879611464</v>
      </c>
      <c r="GW34" s="20">
        <v>1152.0080300880268</v>
      </c>
      <c r="GX34" s="20">
        <v>71009.612531885112</v>
      </c>
      <c r="GY34" s="10">
        <v>2.9528406700000001</v>
      </c>
    </row>
    <row r="35" spans="1:207" s="21" customFormat="1" x14ac:dyDescent="0.25">
      <c r="L35" s="26"/>
      <c r="M35" s="26"/>
      <c r="N35" s="26"/>
      <c r="O35" s="26"/>
      <c r="P35" s="26"/>
      <c r="Q35" s="26"/>
      <c r="R35" s="35"/>
      <c r="S35" s="35"/>
      <c r="T35" s="35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DU35" s="12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</row>
    <row r="36" spans="1:207" x14ac:dyDescent="0.25">
      <c r="R36" s="35"/>
      <c r="S36" s="35"/>
      <c r="T36" s="35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V36" s="39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37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</row>
    <row r="37" spans="1:207" x14ac:dyDescent="0.25"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BE37" s="19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V37" s="19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</row>
    <row r="38" spans="1:207" x14ac:dyDescent="0.25"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9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19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</row>
    <row r="39" spans="1:207" x14ac:dyDescent="0.25"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9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19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</row>
    <row r="40" spans="1:207" x14ac:dyDescent="0.25"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9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19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</row>
    <row r="41" spans="1:207" x14ac:dyDescent="0.25"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9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19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</row>
    <row r="42" spans="1:207" x14ac:dyDescent="0.25"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19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19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</row>
    <row r="43" spans="1:207" x14ac:dyDescent="0.25"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19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19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</row>
    <row r="44" spans="1:207" x14ac:dyDescent="0.25"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19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19"/>
    </row>
    <row r="45" spans="1:207" x14ac:dyDescent="0.25"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19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19"/>
    </row>
    <row r="46" spans="1:207" x14ac:dyDescent="0.25"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19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19"/>
    </row>
    <row r="47" spans="1:207" x14ac:dyDescent="0.25"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19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19"/>
    </row>
    <row r="48" spans="1:207" x14ac:dyDescent="0.25"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9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19"/>
    </row>
    <row r="49" spans="24:74" x14ac:dyDescent="0.25"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19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19"/>
    </row>
    <row r="50" spans="24:74" x14ac:dyDescent="0.25"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19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19"/>
    </row>
    <row r="51" spans="24:74" x14ac:dyDescent="0.25"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19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19"/>
    </row>
    <row r="52" spans="24:74" x14ac:dyDescent="0.25"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19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19"/>
    </row>
    <row r="53" spans="24:74" x14ac:dyDescent="0.25"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19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19"/>
    </row>
    <row r="54" spans="24:74" x14ac:dyDescent="0.25"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E54" s="19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V54" s="19"/>
    </row>
    <row r="55" spans="24:74" x14ac:dyDescent="0.25"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E55" s="19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V55" s="19"/>
    </row>
    <row r="56" spans="24:74" x14ac:dyDescent="0.25">
      <c r="X56" s="3"/>
      <c r="Y56" s="3"/>
      <c r="Z56" s="3"/>
      <c r="AA56" s="3"/>
      <c r="AB56" s="3"/>
      <c r="AC56" s="3"/>
      <c r="AD56" s="3"/>
      <c r="AE56" s="3"/>
      <c r="AF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E56" s="19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V56" s="19"/>
    </row>
    <row r="57" spans="24:74" x14ac:dyDescent="0.25">
      <c r="X57" s="3"/>
      <c r="Y57" s="3"/>
      <c r="Z57" s="3"/>
      <c r="AA57" s="3"/>
      <c r="AB57" s="3"/>
      <c r="AC57" s="3"/>
      <c r="AD57" s="3"/>
      <c r="AE57" s="3"/>
      <c r="AF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E57" s="19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V57" s="19"/>
    </row>
    <row r="58" spans="24:74" x14ac:dyDescent="0.25">
      <c r="X58" s="3"/>
      <c r="Y58" s="3"/>
      <c r="Z58" s="3"/>
      <c r="AA58" s="3"/>
      <c r="AB58" s="3"/>
      <c r="AC58" s="3"/>
      <c r="AD58" s="3"/>
      <c r="AE58" s="3"/>
      <c r="AF58" s="3"/>
      <c r="BE58" s="19"/>
      <c r="BV58" s="19"/>
    </row>
    <row r="59" spans="24:74" x14ac:dyDescent="0.25">
      <c r="X59" s="3"/>
      <c r="Y59" s="3"/>
      <c r="Z59" s="3"/>
      <c r="AA59" s="3"/>
      <c r="AB59" s="3"/>
      <c r="AC59" s="3"/>
      <c r="AD59" s="3"/>
      <c r="AE59" s="3"/>
      <c r="AF59" s="3"/>
      <c r="BE59" s="19"/>
      <c r="BV59" s="19"/>
    </row>
    <row r="60" spans="24:74" x14ac:dyDescent="0.25">
      <c r="X60" s="3"/>
      <c r="Y60" s="3"/>
      <c r="Z60" s="3"/>
      <c r="AA60" s="3"/>
      <c r="AB60" s="3"/>
      <c r="AC60" s="3"/>
      <c r="AD60" s="3"/>
      <c r="AE60" s="3"/>
      <c r="AF60" s="3"/>
      <c r="BE60" s="19"/>
      <c r="BV60" s="19"/>
    </row>
    <row r="61" spans="24:74" x14ac:dyDescent="0.25">
      <c r="X61" s="3"/>
      <c r="Y61" s="3"/>
      <c r="Z61" s="3"/>
      <c r="AA61" s="3"/>
      <c r="AB61" s="3"/>
      <c r="AC61" s="3"/>
      <c r="AD61" s="3"/>
      <c r="AE61" s="3"/>
      <c r="A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24:74" x14ac:dyDescent="0.25">
      <c r="X62" s="3"/>
      <c r="Y62" s="3"/>
      <c r="Z62" s="3"/>
      <c r="AA62" s="3"/>
      <c r="AB62" s="3"/>
      <c r="AC62" s="3"/>
      <c r="AD62" s="3"/>
      <c r="AE62" s="3"/>
      <c r="AF62" s="3"/>
      <c r="AP62" s="3"/>
      <c r="AQ62" s="3"/>
      <c r="AR62" s="3"/>
      <c r="AS62" s="3"/>
      <c r="AT62" s="3"/>
      <c r="AU62" s="3"/>
      <c r="AV62" s="3"/>
      <c r="AW62" s="3"/>
      <c r="AX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24:74" x14ac:dyDescent="0.25">
      <c r="X63" s="3"/>
      <c r="Y63" s="3"/>
      <c r="Z63" s="3"/>
      <c r="AA63" s="3"/>
      <c r="AB63" s="3"/>
      <c r="AC63" s="3"/>
      <c r="AD63" s="3"/>
      <c r="AE63" s="3"/>
      <c r="AF63" s="3"/>
      <c r="AP63" s="3"/>
      <c r="AQ63" s="3"/>
      <c r="AR63" s="3"/>
      <c r="AS63" s="3"/>
      <c r="AT63" s="3"/>
      <c r="AU63" s="3"/>
      <c r="AV63" s="3"/>
      <c r="AW63" s="3"/>
      <c r="AX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24:74" x14ac:dyDescent="0.25">
      <c r="X64" s="3"/>
      <c r="Y64" s="3"/>
      <c r="Z64" s="3"/>
      <c r="AA64" s="3"/>
      <c r="AB64" s="3"/>
      <c r="AC64" s="3"/>
      <c r="AD64" s="3"/>
      <c r="AE64" s="3"/>
      <c r="AF64" s="3"/>
      <c r="AP64" s="3"/>
      <c r="AQ64" s="3"/>
      <c r="AR64" s="3"/>
      <c r="AS64" s="3"/>
      <c r="AT64" s="3"/>
      <c r="AU64" s="3"/>
      <c r="AV64" s="3"/>
      <c r="AW64" s="3"/>
      <c r="AX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24:67" x14ac:dyDescent="0.25">
      <c r="X65" s="3"/>
      <c r="Y65" s="3"/>
      <c r="Z65" s="3"/>
      <c r="AA65" s="3"/>
      <c r="AB65" s="3"/>
      <c r="AC65" s="3"/>
      <c r="AD65" s="3"/>
      <c r="AE65" s="3"/>
      <c r="AF65" s="3"/>
      <c r="AP65" s="3"/>
      <c r="AQ65" s="3"/>
      <c r="AR65" s="3"/>
      <c r="AS65" s="3"/>
      <c r="AT65" s="3"/>
      <c r="AU65" s="3"/>
      <c r="AV65" s="3"/>
      <c r="AW65" s="3"/>
      <c r="AX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24:67" x14ac:dyDescent="0.25">
      <c r="X66" s="3"/>
      <c r="Y66" s="3"/>
      <c r="Z66" s="3"/>
      <c r="AA66" s="3"/>
      <c r="AB66" s="3"/>
      <c r="AC66" s="3"/>
      <c r="AD66" s="3"/>
      <c r="AE66" s="3"/>
      <c r="AF66" s="3"/>
      <c r="AP66" s="3"/>
      <c r="AQ66" s="3"/>
      <c r="AR66" s="3"/>
      <c r="AS66" s="3"/>
      <c r="AT66" s="3"/>
      <c r="AU66" s="3"/>
      <c r="AV66" s="3"/>
      <c r="AW66" s="3"/>
      <c r="AX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24:67" x14ac:dyDescent="0.25">
      <c r="X67" s="3"/>
      <c r="Y67" s="3"/>
      <c r="Z67" s="3"/>
      <c r="AA67" s="3"/>
      <c r="AB67" s="3"/>
      <c r="AC67" s="3"/>
      <c r="AD67" s="3"/>
      <c r="AE67" s="3"/>
      <c r="AF67" s="3"/>
      <c r="AP67" s="3"/>
      <c r="AQ67" s="3"/>
      <c r="AR67" s="3"/>
      <c r="AS67" s="3"/>
      <c r="AT67" s="3"/>
      <c r="AU67" s="3"/>
      <c r="AV67" s="3"/>
      <c r="AW67" s="3"/>
      <c r="AX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24:67" x14ac:dyDescent="0.25">
      <c r="X68" s="3"/>
      <c r="Y68" s="3"/>
      <c r="Z68" s="3"/>
      <c r="AA68" s="3"/>
      <c r="AB68" s="3"/>
      <c r="AC68" s="3"/>
      <c r="AD68" s="3"/>
      <c r="AE68" s="3"/>
      <c r="AF68" s="3"/>
      <c r="AP68" s="3"/>
      <c r="AQ68" s="3"/>
      <c r="AR68" s="3"/>
      <c r="AS68" s="3"/>
      <c r="AT68" s="3"/>
      <c r="AU68" s="3"/>
      <c r="AV68" s="3"/>
      <c r="AW68" s="3"/>
      <c r="AX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24:67" x14ac:dyDescent="0.25">
      <c r="X69" s="3"/>
      <c r="Y69" s="3"/>
      <c r="Z69" s="3"/>
      <c r="AA69" s="3"/>
      <c r="AB69" s="3"/>
      <c r="AC69" s="3"/>
      <c r="AD69" s="3"/>
      <c r="AE69" s="3"/>
      <c r="AF69" s="3"/>
      <c r="AP69" s="3"/>
      <c r="AQ69" s="3"/>
      <c r="AR69" s="3"/>
      <c r="AS69" s="3"/>
      <c r="AT69" s="3"/>
      <c r="AU69" s="3"/>
      <c r="AV69" s="3"/>
      <c r="AW69" s="3"/>
      <c r="AX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24:67" x14ac:dyDescent="0.25">
      <c r="X70" s="3"/>
      <c r="Y70" s="3"/>
      <c r="Z70" s="3"/>
      <c r="AA70" s="3"/>
      <c r="AB70" s="3"/>
      <c r="AC70" s="3"/>
      <c r="AD70" s="3"/>
      <c r="AE70" s="3"/>
      <c r="AF70" s="3"/>
      <c r="AP70" s="3"/>
      <c r="AQ70" s="3"/>
      <c r="AR70" s="3"/>
      <c r="AS70" s="3"/>
      <c r="AT70" s="3"/>
      <c r="AU70" s="3"/>
      <c r="AV70" s="3"/>
      <c r="AW70" s="3"/>
      <c r="AX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24:67" x14ac:dyDescent="0.25">
      <c r="X71" s="3"/>
      <c r="Y71" s="3"/>
      <c r="Z71" s="3"/>
      <c r="AA71" s="3"/>
      <c r="AB71" s="3"/>
      <c r="AC71" s="3"/>
      <c r="AD71" s="3"/>
      <c r="AE71" s="3"/>
      <c r="AF71" s="3"/>
      <c r="AP71" s="3"/>
      <c r="AQ71" s="3"/>
      <c r="AR71" s="3"/>
      <c r="AS71" s="3"/>
      <c r="AT71" s="3"/>
      <c r="AU71" s="3"/>
      <c r="AV71" s="3"/>
      <c r="AW71" s="3"/>
      <c r="AX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24:67" x14ac:dyDescent="0.25">
      <c r="AP72" s="3"/>
      <c r="AQ72" s="3"/>
      <c r="AR72" s="3"/>
      <c r="AS72" s="3"/>
      <c r="AT72" s="3"/>
      <c r="AU72" s="3"/>
      <c r="AV72" s="3"/>
      <c r="AW72" s="3"/>
      <c r="AX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24:67" x14ac:dyDescent="0.25">
      <c r="AP73" s="3"/>
      <c r="AQ73" s="3"/>
      <c r="AR73" s="3"/>
      <c r="AS73" s="3"/>
      <c r="AT73" s="3"/>
      <c r="AU73" s="3"/>
      <c r="AV73" s="3"/>
      <c r="AW73" s="3"/>
      <c r="AX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24:67" x14ac:dyDescent="0.25">
      <c r="AP74" s="3"/>
      <c r="AQ74" s="3"/>
      <c r="AR74" s="3"/>
      <c r="AS74" s="3"/>
      <c r="AT74" s="3"/>
      <c r="AU74" s="3"/>
      <c r="AV74" s="3"/>
      <c r="AW74" s="3"/>
      <c r="AX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24:67" x14ac:dyDescent="0.25">
      <c r="AP75" s="3"/>
      <c r="AQ75" s="3"/>
      <c r="AR75" s="3"/>
      <c r="AS75" s="3"/>
      <c r="AT75" s="3"/>
      <c r="AU75" s="3"/>
      <c r="AV75" s="3"/>
      <c r="AW75" s="3"/>
      <c r="AX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24:67" x14ac:dyDescent="0.25">
      <c r="AP76" s="3"/>
      <c r="AQ76" s="3"/>
      <c r="AR76" s="3"/>
      <c r="AS76" s="3"/>
      <c r="AT76" s="3"/>
      <c r="AU76" s="3"/>
      <c r="AV76" s="3"/>
      <c r="AW76" s="3"/>
      <c r="AX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24:67" x14ac:dyDescent="0.25">
      <c r="AP77" s="3"/>
      <c r="AQ77" s="3"/>
      <c r="AR77" s="3"/>
      <c r="AS77" s="3"/>
      <c r="AT77" s="3"/>
      <c r="AU77" s="3"/>
      <c r="AV77" s="3"/>
      <c r="AW77" s="3"/>
      <c r="AX77" s="3"/>
    </row>
  </sheetData>
  <mergeCells count="11">
    <mergeCell ref="EC1:EI1"/>
    <mergeCell ref="CE1:CM1"/>
    <mergeCell ref="CN1:CV1"/>
    <mergeCell ref="CW1:DE1"/>
    <mergeCell ref="DF1:DN1"/>
    <mergeCell ref="DV1:EB1"/>
    <mergeCell ref="EJ1:EP1"/>
    <mergeCell ref="EQ1:EW1"/>
    <mergeCell ref="FB1:FR1"/>
    <mergeCell ref="FU1:GI1"/>
    <mergeCell ref="GJ1:GX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Acute Study</vt:lpstr>
      <vt:lpstr>Training Study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Edinburgh</dc:creator>
  <cp:lastModifiedBy>Rob Edinburgh</cp:lastModifiedBy>
  <dcterms:created xsi:type="dcterms:W3CDTF">2019-04-25T13:10:47Z</dcterms:created>
  <dcterms:modified xsi:type="dcterms:W3CDTF">2019-04-29T10:27:29Z</dcterms:modified>
</cp:coreProperties>
</file>