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:\Bath\papers\breakfast\"/>
    </mc:Choice>
  </mc:AlternateContent>
  <xr:revisionPtr revIDLastSave="0" documentId="13_ncr:1_{0E3D46B5-3F7C-461D-81F0-217845E69F9F}" xr6:coauthVersionLast="41" xr6:coauthVersionMax="41" xr10:uidLastSave="{00000000-0000-0000-0000-000000000000}"/>
  <bookViews>
    <workbookView xWindow="23880" yWindow="-120" windowWidth="24240" windowHeight="13740" xr2:uid="{00000000-000D-0000-FFFF-FFFF00000000}"/>
  </bookViews>
  <sheets>
    <sheet name="About this dataset" sheetId="36" r:id="rId1"/>
    <sheet name="Participant characteristics" sheetId="3" r:id="rId2"/>
    <sheet name="LAB SESSIONS" sheetId="35" r:id="rId3"/>
    <sheet name="Weight (kg)" sheetId="22" r:id="rId4"/>
    <sheet name="BMI (kg.m2)" sheetId="30" r:id="rId5"/>
    <sheet name="Waist circ (cm)" sheetId="6" r:id="rId6"/>
    <sheet name="Hip circ (cm)" sheetId="7" r:id="rId7"/>
    <sheet name="Waist-hip ratio" sheetId="31" r:id="rId8"/>
    <sheet name="Systolic BP (mmHg)" sheetId="32" r:id="rId9"/>
    <sheet name="Diastolic BP (mmHg)" sheetId="33" r:id="rId10"/>
    <sheet name="USG" sheetId="4" r:id="rId11"/>
    <sheet name="RMR (kcal.day)" sheetId="1" r:id="rId12"/>
    <sheet name="RER (resting)" sheetId="25" r:id="rId13"/>
    <sheet name="Hunger_VAS" sheetId="8" r:id="rId14"/>
    <sheet name="Fullness_VAS" sheetId="9" r:id="rId15"/>
    <sheet name="How much can you eat_VAS" sheetId="10" r:id="rId16"/>
    <sheet name="Thirst_VAS" sheetId="11" r:id="rId17"/>
    <sheet name="Sweet desire_VAS" sheetId="12" r:id="rId18"/>
    <sheet name="Salt desire_VAS" sheetId="13" r:id="rId19"/>
    <sheet name="Savoury desire_VAS" sheetId="14" r:id="rId20"/>
    <sheet name="Fatty desire_VAS" sheetId="15" r:id="rId21"/>
    <sheet name="Breakfast taste ratings_VAS" sheetId="26" r:id="rId22"/>
    <sheet name="FC trait" sheetId="18" r:id="rId23"/>
    <sheet name="FC state" sheetId="17" r:id="rId24"/>
    <sheet name="FCI" sheetId="16" r:id="rId25"/>
    <sheet name="FCI consumption" sheetId="27" r:id="rId26"/>
    <sheet name="FCI flavour category" sheetId="28" r:id="rId27"/>
    <sheet name="FCI additional" sheetId="29" r:id="rId28"/>
    <sheet name="MEQ" sheetId="19" r:id="rId29"/>
    <sheet name="TFEQ restraint (factor 1)" sheetId="20" r:id="rId30"/>
    <sheet name="TFEQ disinhibition (f2)" sheetId="23" r:id="rId31"/>
    <sheet name="TFEQ hunger (f3)" sheetId="24" r:id="rId32"/>
    <sheet name="Glucose (mmol.L)" sheetId="61" r:id="rId33"/>
    <sheet name="Cholesterol (mmol.L)" sheetId="62" r:id="rId34"/>
    <sheet name="TG (mmol.L)" sheetId="63" r:id="rId35"/>
    <sheet name="Insulin (pmol.L)" sheetId="64" r:id="rId36"/>
    <sheet name="GLP-1 (pmol.L)" sheetId="65" r:id="rId37"/>
    <sheet name="FGF21 (pg.mL)" sheetId="66" r:id="rId38"/>
    <sheet name="INTERVENTION PERIOD" sheetId="34" r:id="rId39"/>
    <sheet name="Breakfast quantity" sheetId="67" r:id="rId40"/>
    <sheet name="Breakfast familiarity VAS" sheetId="37" r:id="rId41"/>
    <sheet name="Breakfast liking VAS" sheetId="38" r:id="rId42"/>
    <sheet name="Hunger VAS" sheetId="39" r:id="rId43"/>
    <sheet name="Fullness VAS" sheetId="40" r:id="rId44"/>
    <sheet name="How much can you eat VAS" sheetId="41" r:id="rId45"/>
    <sheet name="Thirst VAS" sheetId="42" r:id="rId46"/>
    <sheet name="Sweet desire VAS" sheetId="43" r:id="rId47"/>
    <sheet name="Salt desire VAS" sheetId="44" r:id="rId48"/>
    <sheet name="Savoury desire VAS" sheetId="45" r:id="rId49"/>
    <sheet name="Fatty desire VAS" sheetId="46" r:id="rId50"/>
    <sheet name="Energy intake (kcal.d)" sheetId="47" r:id="rId51"/>
    <sheet name="CHO intake (g.d)" sheetId="48" r:id="rId52"/>
    <sheet name="Fibre intake (g.d)" sheetId="49" r:id="rId53"/>
    <sheet name="Sugar intake (g)" sheetId="50" r:id="rId54"/>
    <sheet name="Fat intake (g.d)" sheetId="51" r:id="rId55"/>
    <sheet name="Saturated fat intake (g.d)" sheetId="52" r:id="rId56"/>
    <sheet name="Protein intake (g.d)" sheetId="53" r:id="rId57"/>
    <sheet name="Water intake (food+fluid; mL.d)" sheetId="54" r:id="rId58"/>
    <sheet name="Energy expenditure (kcal.d)" sheetId="55" r:id="rId59"/>
    <sheet name="Sedentary (incl sleep; kcal.d)" sheetId="56" r:id="rId60"/>
    <sheet name="Light activity (kcal.d)" sheetId="57" r:id="rId61"/>
    <sheet name="Moderate activity (kcal.d)" sheetId="58" r:id="rId62"/>
    <sheet name="Vigorous activity (kcal.d)" sheetId="60" r:id="rId6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65" l="1"/>
  <c r="E4" i="65"/>
  <c r="E5" i="65"/>
  <c r="E6" i="65"/>
  <c r="E7" i="65"/>
  <c r="E8" i="65"/>
  <c r="E9" i="65"/>
  <c r="E10" i="65"/>
  <c r="E11" i="65"/>
  <c r="E12" i="65"/>
  <c r="E13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26" i="65"/>
  <c r="E27" i="65"/>
  <c r="E28" i="65"/>
  <c r="E29" i="65"/>
  <c r="E30" i="65"/>
  <c r="E33" i="65"/>
  <c r="E34" i="65"/>
  <c r="E35" i="65"/>
  <c r="E36" i="65"/>
  <c r="E37" i="65"/>
  <c r="E38" i="65"/>
  <c r="E39" i="65"/>
  <c r="E40" i="65"/>
  <c r="E41" i="65"/>
  <c r="E42" i="65"/>
  <c r="E43" i="65"/>
  <c r="E44" i="65"/>
  <c r="E45" i="65"/>
  <c r="E46" i="65"/>
  <c r="E47" i="65"/>
  <c r="E48" i="65"/>
  <c r="E49" i="65"/>
  <c r="E50" i="65"/>
  <c r="E51" i="65"/>
  <c r="E52" i="65"/>
  <c r="E53" i="65"/>
  <c r="E54" i="65"/>
  <c r="E55" i="65"/>
  <c r="E56" i="65"/>
  <c r="E57" i="65"/>
  <c r="E58" i="65"/>
  <c r="E59" i="65"/>
  <c r="E60" i="65"/>
  <c r="E61" i="65"/>
  <c r="E2" i="65"/>
  <c r="E62" i="22" l="1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C14" i="22"/>
  <c r="E14" i="22" s="1"/>
  <c r="E13" i="22"/>
  <c r="E12" i="22"/>
  <c r="E11" i="22"/>
  <c r="E10" i="22"/>
  <c r="E9" i="22"/>
  <c r="E8" i="22"/>
  <c r="E7" i="22"/>
  <c r="E6" i="22"/>
  <c r="E5" i="22"/>
  <c r="E4" i="22"/>
  <c r="E3" i="22"/>
  <c r="E2" i="22"/>
  <c r="AB33" i="16" l="1"/>
  <c r="AB2" i="16"/>
  <c r="Z33" i="16"/>
  <c r="E2" i="66"/>
  <c r="E2" i="10"/>
  <c r="E3" i="37" l="1"/>
  <c r="E4" i="37"/>
  <c r="E5" i="37"/>
  <c r="E6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3" i="37"/>
  <c r="E34" i="37"/>
  <c r="E35" i="37"/>
  <c r="E36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0" i="37"/>
  <c r="E61" i="37"/>
  <c r="E2" i="37"/>
  <c r="N19" i="58"/>
  <c r="M15" i="55"/>
  <c r="C29" i="25" l="1"/>
  <c r="C29" i="1"/>
  <c r="E29" i="4"/>
  <c r="E30" i="4"/>
  <c r="C29" i="33"/>
  <c r="C29" i="32"/>
  <c r="C29" i="6"/>
  <c r="C29" i="30"/>
  <c r="E3" i="64" l="1"/>
  <c r="E4" i="64"/>
  <c r="E5" i="64"/>
  <c r="E6" i="64"/>
  <c r="E7" i="64"/>
  <c r="E10" i="64"/>
  <c r="E12" i="64"/>
  <c r="E13" i="64"/>
  <c r="E14" i="64"/>
  <c r="E16" i="64"/>
  <c r="E17" i="64"/>
  <c r="E19" i="64"/>
  <c r="E20" i="64"/>
  <c r="E21" i="64"/>
  <c r="E22" i="64"/>
  <c r="E23" i="64"/>
  <c r="E25" i="64"/>
  <c r="E26" i="64"/>
  <c r="E27" i="64"/>
  <c r="E28" i="64"/>
  <c r="E29" i="64"/>
  <c r="E30" i="64"/>
  <c r="E33" i="64"/>
  <c r="E34" i="64"/>
  <c r="E35" i="64"/>
  <c r="E36" i="64"/>
  <c r="E37" i="64"/>
  <c r="E38" i="64"/>
  <c r="E40" i="64"/>
  <c r="E41" i="64"/>
  <c r="E43" i="64"/>
  <c r="E44" i="64"/>
  <c r="E45" i="64"/>
  <c r="E47" i="64"/>
  <c r="E48" i="64"/>
  <c r="E50" i="64"/>
  <c r="E51" i="64"/>
  <c r="E52" i="64"/>
  <c r="E53" i="64"/>
  <c r="E54" i="64"/>
  <c r="E56" i="64"/>
  <c r="E57" i="64"/>
  <c r="E58" i="64"/>
  <c r="E59" i="64"/>
  <c r="E60" i="64"/>
  <c r="E61" i="64"/>
  <c r="E2" i="64"/>
  <c r="E3" i="63" l="1"/>
  <c r="E4" i="63"/>
  <c r="E5" i="63"/>
  <c r="E6" i="63"/>
  <c r="E7" i="63"/>
  <c r="E9" i="63"/>
  <c r="E10" i="63"/>
  <c r="E12" i="63"/>
  <c r="E13" i="63"/>
  <c r="E14" i="63"/>
  <c r="E16" i="63"/>
  <c r="E17" i="63"/>
  <c r="E19" i="63"/>
  <c r="E20" i="63"/>
  <c r="E21" i="63"/>
  <c r="E22" i="63"/>
  <c r="E23" i="63"/>
  <c r="E25" i="63"/>
  <c r="E26" i="63"/>
  <c r="E27" i="63"/>
  <c r="E28" i="63"/>
  <c r="E29" i="63"/>
  <c r="E30" i="63"/>
  <c r="E33" i="63"/>
  <c r="E34" i="63"/>
  <c r="E35" i="63"/>
  <c r="E36" i="63"/>
  <c r="E37" i="63"/>
  <c r="E38" i="63"/>
  <c r="E40" i="63"/>
  <c r="E41" i="63"/>
  <c r="E43" i="63"/>
  <c r="E44" i="63"/>
  <c r="E45" i="63"/>
  <c r="E47" i="63"/>
  <c r="E48" i="63"/>
  <c r="E50" i="63"/>
  <c r="E51" i="63"/>
  <c r="E52" i="63"/>
  <c r="E53" i="63"/>
  <c r="E54" i="63"/>
  <c r="E56" i="63"/>
  <c r="E57" i="63"/>
  <c r="E58" i="63"/>
  <c r="E59" i="63"/>
  <c r="E60" i="63"/>
  <c r="E61" i="63"/>
  <c r="E2" i="63"/>
  <c r="E3" i="61"/>
  <c r="E4" i="61"/>
  <c r="E5" i="61"/>
  <c r="E6" i="61"/>
  <c r="E7" i="61"/>
  <c r="E9" i="61"/>
  <c r="E10" i="61"/>
  <c r="E12" i="61"/>
  <c r="E13" i="61"/>
  <c r="E14" i="61"/>
  <c r="E16" i="61"/>
  <c r="E17" i="61"/>
  <c r="E19" i="61"/>
  <c r="E20" i="61"/>
  <c r="E21" i="61"/>
  <c r="E22" i="61"/>
  <c r="E23" i="61"/>
  <c r="E25" i="61"/>
  <c r="E26" i="61"/>
  <c r="E27" i="61"/>
  <c r="E28" i="61"/>
  <c r="E29" i="61"/>
  <c r="E30" i="61"/>
  <c r="E33" i="61"/>
  <c r="E34" i="61"/>
  <c r="E35" i="61"/>
  <c r="E36" i="61"/>
  <c r="E37" i="61"/>
  <c r="E38" i="61"/>
  <c r="E40" i="61"/>
  <c r="E41" i="61"/>
  <c r="E43" i="61"/>
  <c r="E44" i="61"/>
  <c r="E45" i="61"/>
  <c r="E47" i="61"/>
  <c r="E48" i="61"/>
  <c r="E50" i="61"/>
  <c r="E51" i="61"/>
  <c r="E52" i="61"/>
  <c r="E53" i="61"/>
  <c r="E54" i="61"/>
  <c r="E56" i="61"/>
  <c r="E57" i="61"/>
  <c r="E58" i="61"/>
  <c r="E59" i="61"/>
  <c r="E60" i="61"/>
  <c r="E61" i="61"/>
  <c r="E2" i="61"/>
  <c r="E3" i="62"/>
  <c r="E4" i="62"/>
  <c r="E5" i="62"/>
  <c r="E6" i="62"/>
  <c r="E7" i="62"/>
  <c r="E9" i="62"/>
  <c r="E10" i="62"/>
  <c r="E12" i="62"/>
  <c r="E13" i="62"/>
  <c r="E14" i="62"/>
  <c r="E16" i="62"/>
  <c r="E17" i="62"/>
  <c r="E19" i="62"/>
  <c r="E20" i="62"/>
  <c r="E21" i="62"/>
  <c r="E22" i="62"/>
  <c r="E23" i="62"/>
  <c r="E25" i="62"/>
  <c r="E26" i="62"/>
  <c r="E27" i="62"/>
  <c r="E28" i="62"/>
  <c r="E29" i="62"/>
  <c r="E30" i="62"/>
  <c r="E33" i="62"/>
  <c r="E34" i="62"/>
  <c r="E35" i="62"/>
  <c r="E36" i="62"/>
  <c r="E37" i="62"/>
  <c r="E38" i="62"/>
  <c r="E40" i="62"/>
  <c r="E41" i="62"/>
  <c r="E43" i="62"/>
  <c r="E44" i="62"/>
  <c r="E45" i="62"/>
  <c r="E47" i="62"/>
  <c r="E48" i="62"/>
  <c r="E50" i="62"/>
  <c r="E51" i="62"/>
  <c r="E52" i="62"/>
  <c r="E53" i="62"/>
  <c r="E54" i="62"/>
  <c r="E56" i="62"/>
  <c r="E57" i="62"/>
  <c r="E58" i="62"/>
  <c r="E59" i="62"/>
  <c r="E60" i="62"/>
  <c r="E61" i="62"/>
  <c r="E2" i="62"/>
  <c r="E4" i="66" l="1"/>
  <c r="E5" i="66"/>
  <c r="E6" i="66"/>
  <c r="E7" i="66"/>
  <c r="E8" i="66"/>
  <c r="E9" i="66"/>
  <c r="E10" i="66"/>
  <c r="E11" i="66"/>
  <c r="E12" i="66"/>
  <c r="E13" i="66"/>
  <c r="E14" i="66"/>
  <c r="E15" i="66"/>
  <c r="E18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" i="24" l="1"/>
  <c r="E4" i="24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2" i="24"/>
  <c r="E3" i="23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2" i="23"/>
  <c r="E3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2" i="20"/>
  <c r="E3" i="19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2" i="19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2" i="17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3" i="18"/>
  <c r="E34" i="18"/>
  <c r="E35" i="18"/>
  <c r="E36" i="18"/>
  <c r="E37" i="18"/>
  <c r="E38" i="18"/>
  <c r="E39" i="18"/>
  <c r="E41" i="18"/>
  <c r="E42" i="18"/>
  <c r="E43" i="18"/>
  <c r="E44" i="18"/>
  <c r="E45" i="18"/>
  <c r="E46" i="18"/>
  <c r="E47" i="18"/>
  <c r="E48" i="18"/>
  <c r="E50" i="18"/>
  <c r="E51" i="18"/>
  <c r="E52" i="18"/>
  <c r="E53" i="18"/>
  <c r="E55" i="18"/>
  <c r="E56" i="18"/>
  <c r="E57" i="18"/>
  <c r="E58" i="18"/>
  <c r="E59" i="18"/>
  <c r="E60" i="18"/>
  <c r="E61" i="18"/>
  <c r="E2" i="18"/>
  <c r="C61" i="25"/>
  <c r="C61" i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2" i="4"/>
  <c r="E3" i="31"/>
  <c r="E4" i="31"/>
  <c r="E5" i="3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2" i="31"/>
  <c r="E3" i="7"/>
  <c r="E4" i="7"/>
  <c r="E6" i="7"/>
  <c r="E14" i="7"/>
  <c r="E22" i="7"/>
  <c r="E24" i="7"/>
  <c r="E26" i="7"/>
  <c r="E29" i="7"/>
  <c r="E33" i="7"/>
  <c r="E34" i="7"/>
  <c r="E38" i="7"/>
  <c r="E45" i="7"/>
  <c r="E50" i="7"/>
  <c r="E53" i="7"/>
  <c r="E56" i="7"/>
  <c r="E57" i="7"/>
  <c r="E61" i="7"/>
  <c r="E2" i="7"/>
  <c r="E3" i="6"/>
  <c r="E4" i="6"/>
  <c r="E21" i="6"/>
  <c r="E25" i="6"/>
  <c r="E33" i="6"/>
  <c r="E34" i="6"/>
  <c r="E40" i="6"/>
  <c r="E52" i="6"/>
  <c r="E53" i="6"/>
  <c r="E56" i="6"/>
  <c r="E2" i="6"/>
  <c r="C61" i="31"/>
  <c r="E61" i="31" s="1"/>
  <c r="C61" i="6"/>
  <c r="E61" i="6" s="1"/>
  <c r="E3" i="30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2" i="30"/>
  <c r="W60" i="16"/>
  <c r="Z3" i="16" l="1"/>
  <c r="AA3" i="16"/>
  <c r="AB3" i="16"/>
  <c r="AC3" i="16"/>
  <c r="AD3" i="16"/>
  <c r="AE3" i="16"/>
  <c r="AF3" i="16"/>
  <c r="Z4" i="16"/>
  <c r="AA4" i="16"/>
  <c r="AB4" i="16"/>
  <c r="AC4" i="16"/>
  <c r="AD4" i="16"/>
  <c r="AE4" i="16"/>
  <c r="AF4" i="16"/>
  <c r="Z5" i="16"/>
  <c r="AA5" i="16"/>
  <c r="AB5" i="16"/>
  <c r="AC5" i="16"/>
  <c r="AD5" i="16"/>
  <c r="AE5" i="16"/>
  <c r="AF5" i="16"/>
  <c r="Z6" i="16"/>
  <c r="AA6" i="16"/>
  <c r="AB6" i="16"/>
  <c r="AC6" i="16"/>
  <c r="AD6" i="16"/>
  <c r="AE6" i="16"/>
  <c r="AF6" i="16"/>
  <c r="Z7" i="16"/>
  <c r="AA7" i="16"/>
  <c r="AB7" i="16"/>
  <c r="AC7" i="16"/>
  <c r="AD7" i="16"/>
  <c r="AE7" i="16"/>
  <c r="AF7" i="16"/>
  <c r="Z8" i="16"/>
  <c r="AA8" i="16"/>
  <c r="AB8" i="16"/>
  <c r="AC8" i="16"/>
  <c r="AD8" i="16"/>
  <c r="AE8" i="16"/>
  <c r="AF8" i="16"/>
  <c r="Z9" i="16"/>
  <c r="AA9" i="16"/>
  <c r="AB9" i="16"/>
  <c r="AC9" i="16"/>
  <c r="AD9" i="16"/>
  <c r="AE9" i="16"/>
  <c r="AF9" i="16"/>
  <c r="Z10" i="16"/>
  <c r="AA10" i="16"/>
  <c r="AB10" i="16"/>
  <c r="AC10" i="16"/>
  <c r="AD10" i="16"/>
  <c r="AE10" i="16"/>
  <c r="AF10" i="16"/>
  <c r="Z11" i="16"/>
  <c r="AA11" i="16"/>
  <c r="AB11" i="16"/>
  <c r="AC11" i="16"/>
  <c r="AD11" i="16"/>
  <c r="AE11" i="16"/>
  <c r="AF11" i="16"/>
  <c r="Z12" i="16"/>
  <c r="AA12" i="16"/>
  <c r="AB12" i="16"/>
  <c r="AC12" i="16"/>
  <c r="AD12" i="16"/>
  <c r="AE12" i="16"/>
  <c r="AF12" i="16"/>
  <c r="Z13" i="16"/>
  <c r="AA13" i="16"/>
  <c r="AB13" i="16"/>
  <c r="AC13" i="16"/>
  <c r="AD13" i="16"/>
  <c r="AE13" i="16"/>
  <c r="AF13" i="16"/>
  <c r="Z14" i="16"/>
  <c r="AA14" i="16"/>
  <c r="AB14" i="16"/>
  <c r="AC14" i="16"/>
  <c r="AD14" i="16"/>
  <c r="AE14" i="16"/>
  <c r="AF14" i="16"/>
  <c r="Z15" i="16"/>
  <c r="AA15" i="16"/>
  <c r="AB15" i="16"/>
  <c r="AC15" i="16"/>
  <c r="AD15" i="16"/>
  <c r="AE15" i="16"/>
  <c r="AF15" i="16"/>
  <c r="Z16" i="16"/>
  <c r="AA16" i="16"/>
  <c r="AB16" i="16"/>
  <c r="AC16" i="16"/>
  <c r="AD16" i="16"/>
  <c r="AE16" i="16"/>
  <c r="AF16" i="16"/>
  <c r="Z17" i="16"/>
  <c r="AA17" i="16"/>
  <c r="AB17" i="16"/>
  <c r="AC17" i="16"/>
  <c r="AD17" i="16"/>
  <c r="AE17" i="16"/>
  <c r="AF17" i="16"/>
  <c r="Z18" i="16"/>
  <c r="AA18" i="16"/>
  <c r="AB18" i="16"/>
  <c r="AC18" i="16"/>
  <c r="AD18" i="16"/>
  <c r="AE18" i="16"/>
  <c r="AF18" i="16"/>
  <c r="Z19" i="16"/>
  <c r="AA19" i="16"/>
  <c r="AB19" i="16"/>
  <c r="AC19" i="16"/>
  <c r="AD19" i="16"/>
  <c r="AE19" i="16"/>
  <c r="AF19" i="16"/>
  <c r="Z20" i="16"/>
  <c r="AA20" i="16"/>
  <c r="AB20" i="16"/>
  <c r="AC20" i="16"/>
  <c r="AD20" i="16"/>
  <c r="AE20" i="16"/>
  <c r="AF20" i="16"/>
  <c r="Z21" i="16"/>
  <c r="AA21" i="16"/>
  <c r="AB21" i="16"/>
  <c r="AC21" i="16"/>
  <c r="AD21" i="16"/>
  <c r="AE21" i="16"/>
  <c r="AF21" i="16"/>
  <c r="Z22" i="16"/>
  <c r="AA22" i="16"/>
  <c r="AB22" i="16"/>
  <c r="AC22" i="16"/>
  <c r="AD22" i="16"/>
  <c r="AE22" i="16"/>
  <c r="AF22" i="16"/>
  <c r="Z23" i="16"/>
  <c r="AA23" i="16"/>
  <c r="AB23" i="16"/>
  <c r="AC23" i="16"/>
  <c r="AD23" i="16"/>
  <c r="AE23" i="16"/>
  <c r="AF23" i="16"/>
  <c r="Z24" i="16"/>
  <c r="AA24" i="16"/>
  <c r="AB24" i="16"/>
  <c r="AC24" i="16"/>
  <c r="AD24" i="16"/>
  <c r="AE24" i="16"/>
  <c r="AF24" i="16"/>
  <c r="Z25" i="16"/>
  <c r="AA25" i="16"/>
  <c r="AB25" i="16"/>
  <c r="AC25" i="16"/>
  <c r="AD25" i="16"/>
  <c r="AE25" i="16"/>
  <c r="AF25" i="16"/>
  <c r="Z26" i="16"/>
  <c r="AA26" i="16"/>
  <c r="AB26" i="16"/>
  <c r="AC26" i="16"/>
  <c r="AD26" i="16"/>
  <c r="AE26" i="16"/>
  <c r="AF26" i="16"/>
  <c r="Z27" i="16"/>
  <c r="AA27" i="16"/>
  <c r="AB27" i="16"/>
  <c r="AC27" i="16"/>
  <c r="AD27" i="16"/>
  <c r="AE27" i="16"/>
  <c r="AF27" i="16"/>
  <c r="Z28" i="16"/>
  <c r="AA28" i="16"/>
  <c r="AB28" i="16"/>
  <c r="AC28" i="16"/>
  <c r="AD28" i="16"/>
  <c r="AE28" i="16"/>
  <c r="AF28" i="16"/>
  <c r="Z29" i="16"/>
  <c r="AA29" i="16"/>
  <c r="AB29" i="16"/>
  <c r="AC29" i="16"/>
  <c r="AD29" i="16"/>
  <c r="AE29" i="16"/>
  <c r="AF29" i="16"/>
  <c r="Z30" i="16"/>
  <c r="AA30" i="16"/>
  <c r="AB30" i="16"/>
  <c r="AC30" i="16"/>
  <c r="AD30" i="16"/>
  <c r="AE30" i="16"/>
  <c r="AF30" i="16"/>
  <c r="AA33" i="16"/>
  <c r="AC33" i="16"/>
  <c r="AD33" i="16"/>
  <c r="AE33" i="16"/>
  <c r="AF33" i="16"/>
  <c r="Z34" i="16"/>
  <c r="AA34" i="16"/>
  <c r="AB34" i="16"/>
  <c r="AC34" i="16"/>
  <c r="AD34" i="16"/>
  <c r="AE34" i="16"/>
  <c r="AF34" i="16"/>
  <c r="Z35" i="16"/>
  <c r="AA35" i="16"/>
  <c r="AB35" i="16"/>
  <c r="AC35" i="16"/>
  <c r="AD35" i="16"/>
  <c r="AE35" i="16"/>
  <c r="AF35" i="16"/>
  <c r="Z36" i="16"/>
  <c r="AA36" i="16"/>
  <c r="AB36" i="16"/>
  <c r="AC36" i="16"/>
  <c r="AD36" i="16"/>
  <c r="AE36" i="16"/>
  <c r="AF36" i="16"/>
  <c r="Z37" i="16"/>
  <c r="AA37" i="16"/>
  <c r="AB37" i="16"/>
  <c r="AC37" i="16"/>
  <c r="AD37" i="16"/>
  <c r="AE37" i="16"/>
  <c r="AF37" i="16"/>
  <c r="Z38" i="16"/>
  <c r="AA38" i="16"/>
  <c r="AB38" i="16"/>
  <c r="AC38" i="16"/>
  <c r="AD38" i="16"/>
  <c r="AE38" i="16"/>
  <c r="AF38" i="16"/>
  <c r="Z39" i="16"/>
  <c r="AA39" i="16"/>
  <c r="AB39" i="16"/>
  <c r="AC39" i="16"/>
  <c r="AD39" i="16"/>
  <c r="AE39" i="16"/>
  <c r="AF39" i="16"/>
  <c r="Z40" i="16"/>
  <c r="AA40" i="16"/>
  <c r="AB40" i="16"/>
  <c r="AC40" i="16"/>
  <c r="AD40" i="16"/>
  <c r="AE40" i="16"/>
  <c r="AF40" i="16"/>
  <c r="Z41" i="16"/>
  <c r="AA41" i="16"/>
  <c r="AB41" i="16"/>
  <c r="AC41" i="16"/>
  <c r="AD41" i="16"/>
  <c r="AE41" i="16"/>
  <c r="AF41" i="16"/>
  <c r="Z42" i="16"/>
  <c r="AA42" i="16"/>
  <c r="AB42" i="16"/>
  <c r="AC42" i="16"/>
  <c r="AD42" i="16"/>
  <c r="AE42" i="16"/>
  <c r="AF42" i="16"/>
  <c r="Z43" i="16"/>
  <c r="AA43" i="16"/>
  <c r="AB43" i="16"/>
  <c r="AC43" i="16"/>
  <c r="AD43" i="16"/>
  <c r="AE43" i="16"/>
  <c r="AF43" i="16"/>
  <c r="Z44" i="16"/>
  <c r="AA44" i="16"/>
  <c r="AB44" i="16"/>
  <c r="AC44" i="16"/>
  <c r="AD44" i="16"/>
  <c r="AE44" i="16"/>
  <c r="AF44" i="16"/>
  <c r="Z45" i="16"/>
  <c r="AA45" i="16"/>
  <c r="AB45" i="16"/>
  <c r="AC45" i="16"/>
  <c r="AD45" i="16"/>
  <c r="AE45" i="16"/>
  <c r="AF45" i="16"/>
  <c r="Z46" i="16"/>
  <c r="AA46" i="16"/>
  <c r="AB46" i="16"/>
  <c r="AC46" i="16"/>
  <c r="AD46" i="16"/>
  <c r="AE46" i="16"/>
  <c r="AF46" i="16"/>
  <c r="Z47" i="16"/>
  <c r="AA47" i="16"/>
  <c r="AB47" i="16"/>
  <c r="AC47" i="16"/>
  <c r="AD47" i="16"/>
  <c r="AE47" i="16"/>
  <c r="AF47" i="16"/>
  <c r="Z48" i="16"/>
  <c r="AA48" i="16"/>
  <c r="AB48" i="16"/>
  <c r="AC48" i="16"/>
  <c r="AD48" i="16"/>
  <c r="AE48" i="16"/>
  <c r="AF48" i="16"/>
  <c r="Z49" i="16"/>
  <c r="AA49" i="16"/>
  <c r="AB49" i="16"/>
  <c r="AC49" i="16"/>
  <c r="AD49" i="16"/>
  <c r="AE49" i="16"/>
  <c r="AF49" i="16"/>
  <c r="Z50" i="16"/>
  <c r="AA50" i="16"/>
  <c r="AB50" i="16"/>
  <c r="AC50" i="16"/>
  <c r="AD50" i="16"/>
  <c r="AE50" i="16"/>
  <c r="AF50" i="16"/>
  <c r="Z51" i="16"/>
  <c r="AA51" i="16"/>
  <c r="AB51" i="16"/>
  <c r="AC51" i="16"/>
  <c r="AD51" i="16"/>
  <c r="AE51" i="16"/>
  <c r="AF51" i="16"/>
  <c r="Z52" i="16"/>
  <c r="AA52" i="16"/>
  <c r="AB52" i="16"/>
  <c r="AC52" i="16"/>
  <c r="AD52" i="16"/>
  <c r="AE52" i="16"/>
  <c r="AF52" i="16"/>
  <c r="Z53" i="16"/>
  <c r="AA53" i="16"/>
  <c r="AB53" i="16"/>
  <c r="AC53" i="16"/>
  <c r="AD53" i="16"/>
  <c r="AE53" i="16"/>
  <c r="AF53" i="16"/>
  <c r="Z54" i="16"/>
  <c r="AA54" i="16"/>
  <c r="AB54" i="16"/>
  <c r="AC54" i="16"/>
  <c r="AD54" i="16"/>
  <c r="AE54" i="16"/>
  <c r="AF54" i="16"/>
  <c r="Z55" i="16"/>
  <c r="AA55" i="16"/>
  <c r="AB55" i="16"/>
  <c r="AC55" i="16"/>
  <c r="AD55" i="16"/>
  <c r="AE55" i="16"/>
  <c r="AF55" i="16"/>
  <c r="Z56" i="16"/>
  <c r="AA56" i="16"/>
  <c r="AB56" i="16"/>
  <c r="AC56" i="16"/>
  <c r="AD56" i="16"/>
  <c r="AE56" i="16"/>
  <c r="AF56" i="16"/>
  <c r="Z57" i="16"/>
  <c r="AA57" i="16"/>
  <c r="AB57" i="16"/>
  <c r="AC57" i="16"/>
  <c r="AD57" i="16"/>
  <c r="AE57" i="16"/>
  <c r="AF57" i="16"/>
  <c r="Z58" i="16"/>
  <c r="AA58" i="16"/>
  <c r="AB58" i="16"/>
  <c r="AC58" i="16"/>
  <c r="AD58" i="16"/>
  <c r="AE58" i="16"/>
  <c r="AF58" i="16"/>
  <c r="Z59" i="16"/>
  <c r="AA59" i="16"/>
  <c r="AB59" i="16"/>
  <c r="AC59" i="16"/>
  <c r="AD59" i="16"/>
  <c r="AE59" i="16"/>
  <c r="AF59" i="16"/>
  <c r="Z60" i="16"/>
  <c r="AA60" i="16"/>
  <c r="AB60" i="16"/>
  <c r="AC60" i="16"/>
  <c r="AD60" i="16"/>
  <c r="AE60" i="16"/>
  <c r="AF60" i="16"/>
  <c r="Z61" i="16"/>
  <c r="AA61" i="16"/>
  <c r="AB61" i="16"/>
  <c r="AC61" i="16"/>
  <c r="AD61" i="16"/>
  <c r="AE61" i="16"/>
  <c r="AF61" i="16"/>
  <c r="AD2" i="16"/>
  <c r="AA2" i="16"/>
  <c r="AC2" i="16"/>
  <c r="AE2" i="16"/>
  <c r="AF2" i="16"/>
  <c r="Z2" i="16"/>
  <c r="W3" i="16"/>
  <c r="AG3" i="16" s="1"/>
  <c r="W4" i="16"/>
  <c r="AG4" i="16" s="1"/>
  <c r="W5" i="16"/>
  <c r="AG5" i="16" s="1"/>
  <c r="W6" i="16"/>
  <c r="AG6" i="16" s="1"/>
  <c r="W7" i="16"/>
  <c r="AG7" i="16" s="1"/>
  <c r="W8" i="16"/>
  <c r="AG8" i="16" s="1"/>
  <c r="W9" i="16"/>
  <c r="AG9" i="16" s="1"/>
  <c r="W10" i="16"/>
  <c r="AG10" i="16" s="1"/>
  <c r="W11" i="16"/>
  <c r="AG11" i="16" s="1"/>
  <c r="W12" i="16"/>
  <c r="AG12" i="16" s="1"/>
  <c r="W13" i="16"/>
  <c r="AG13" i="16" s="1"/>
  <c r="W14" i="16"/>
  <c r="AG14" i="16" s="1"/>
  <c r="W15" i="16"/>
  <c r="AG15" i="16" s="1"/>
  <c r="W16" i="16"/>
  <c r="AG16" i="16" s="1"/>
  <c r="W17" i="16"/>
  <c r="AG17" i="16" s="1"/>
  <c r="W18" i="16"/>
  <c r="AG18" i="16" s="1"/>
  <c r="W19" i="16"/>
  <c r="AG19" i="16" s="1"/>
  <c r="W20" i="16"/>
  <c r="AG20" i="16" s="1"/>
  <c r="W21" i="16"/>
  <c r="AG21" i="16" s="1"/>
  <c r="W22" i="16"/>
  <c r="AG22" i="16" s="1"/>
  <c r="W23" i="16"/>
  <c r="W24" i="16"/>
  <c r="W25" i="16"/>
  <c r="W26" i="16"/>
  <c r="AG26" i="16" s="1"/>
  <c r="W27" i="16"/>
  <c r="W28" i="16"/>
  <c r="AG28" i="16" s="1"/>
  <c r="W29" i="16"/>
  <c r="W30" i="16"/>
  <c r="W33" i="16"/>
  <c r="W34" i="16"/>
  <c r="W35" i="16"/>
  <c r="AG35" i="16" s="1"/>
  <c r="W36" i="16"/>
  <c r="AG36" i="16" s="1"/>
  <c r="W37" i="16"/>
  <c r="AG37" i="16" s="1"/>
  <c r="W38" i="16"/>
  <c r="AG38" i="16" s="1"/>
  <c r="W39" i="16"/>
  <c r="AG39" i="16" s="1"/>
  <c r="W40" i="16"/>
  <c r="AG40" i="16" s="1"/>
  <c r="W41" i="16"/>
  <c r="AG41" i="16" s="1"/>
  <c r="W42" i="16"/>
  <c r="AG42" i="16" s="1"/>
  <c r="W43" i="16"/>
  <c r="AG43" i="16" s="1"/>
  <c r="W44" i="16"/>
  <c r="AG44" i="16" s="1"/>
  <c r="W45" i="16"/>
  <c r="AG45" i="16" s="1"/>
  <c r="W46" i="16"/>
  <c r="AG46" i="16" s="1"/>
  <c r="W47" i="16"/>
  <c r="AG47" i="16" s="1"/>
  <c r="W48" i="16"/>
  <c r="AG48" i="16" s="1"/>
  <c r="W49" i="16"/>
  <c r="AG49" i="16" s="1"/>
  <c r="W50" i="16"/>
  <c r="AG50" i="16" s="1"/>
  <c r="W51" i="16"/>
  <c r="AG51" i="16" s="1"/>
  <c r="W52" i="16"/>
  <c r="AG52" i="16" s="1"/>
  <c r="W53" i="16"/>
  <c r="AG53" i="16" s="1"/>
  <c r="W54" i="16"/>
  <c r="AG54" i="16" s="1"/>
  <c r="W55" i="16"/>
  <c r="W56" i="16"/>
  <c r="AG56" i="16" s="1"/>
  <c r="W57" i="16"/>
  <c r="W58" i="16"/>
  <c r="AG58" i="16" s="1"/>
  <c r="W59" i="16"/>
  <c r="W61" i="16"/>
  <c r="W2" i="16"/>
  <c r="AG2" i="16" s="1"/>
  <c r="M3" i="16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AG59" i="16" s="1"/>
  <c r="M60" i="16"/>
  <c r="M61" i="16"/>
  <c r="M2" i="16"/>
  <c r="AG25" i="16" l="1"/>
  <c r="AG33" i="16"/>
  <c r="AG23" i="16"/>
  <c r="AG34" i="16"/>
  <c r="AG29" i="16"/>
  <c r="AG60" i="16"/>
  <c r="AG30" i="16"/>
  <c r="AG61" i="16"/>
  <c r="AG24" i="16"/>
  <c r="AG55" i="16"/>
  <c r="AG57" i="16"/>
  <c r="AG27" i="16"/>
  <c r="J23" i="67"/>
  <c r="J24" i="67"/>
  <c r="J25" i="67"/>
  <c r="J26" i="67"/>
  <c r="J27" i="67"/>
  <c r="J28" i="67"/>
  <c r="J29" i="67"/>
  <c r="J30" i="67"/>
  <c r="J31" i="67"/>
  <c r="E31" i="67"/>
  <c r="K31" i="67" s="1"/>
  <c r="C31" i="67"/>
  <c r="E30" i="67"/>
  <c r="K30" i="67" s="1"/>
  <c r="L30" i="67" s="1"/>
  <c r="C30" i="67"/>
  <c r="E29" i="67"/>
  <c r="K29" i="67" s="1"/>
  <c r="C29" i="67"/>
  <c r="E28" i="67"/>
  <c r="C28" i="67"/>
  <c r="E27" i="67"/>
  <c r="K27" i="67" s="1"/>
  <c r="C27" i="67"/>
  <c r="E26" i="67"/>
  <c r="K26" i="67" s="1"/>
  <c r="L26" i="67" s="1"/>
  <c r="C26" i="67"/>
  <c r="F26" i="67" s="1"/>
  <c r="G26" i="67" s="1"/>
  <c r="M26" i="67" s="1"/>
  <c r="N26" i="67" s="1"/>
  <c r="E25" i="67"/>
  <c r="C25" i="67"/>
  <c r="E24" i="67"/>
  <c r="K24" i="67" s="1"/>
  <c r="C24" i="67"/>
  <c r="E23" i="67"/>
  <c r="K23" i="67" s="1"/>
  <c r="C23" i="67"/>
  <c r="J22" i="67"/>
  <c r="E22" i="67"/>
  <c r="K22" i="67" s="1"/>
  <c r="C22" i="67"/>
  <c r="J21" i="67"/>
  <c r="E21" i="67"/>
  <c r="C21" i="67"/>
  <c r="J20" i="67"/>
  <c r="E20" i="67"/>
  <c r="K20" i="67" s="1"/>
  <c r="C20" i="67"/>
  <c r="J19" i="67"/>
  <c r="E19" i="67"/>
  <c r="C19" i="67"/>
  <c r="J18" i="67"/>
  <c r="E18" i="67"/>
  <c r="K18" i="67" s="1"/>
  <c r="L18" i="67" s="1"/>
  <c r="C18" i="67"/>
  <c r="J17" i="67"/>
  <c r="E17" i="67"/>
  <c r="K17" i="67" s="1"/>
  <c r="C17" i="67"/>
  <c r="J16" i="67"/>
  <c r="E16" i="67"/>
  <c r="C16" i="67"/>
  <c r="J15" i="67"/>
  <c r="E15" i="67"/>
  <c r="K15" i="67" s="1"/>
  <c r="C15" i="67"/>
  <c r="J14" i="67"/>
  <c r="E14" i="67"/>
  <c r="K14" i="67" s="1"/>
  <c r="C14" i="67"/>
  <c r="J13" i="67"/>
  <c r="E13" i="67"/>
  <c r="C13" i="67"/>
  <c r="J12" i="67"/>
  <c r="D12" i="67"/>
  <c r="E12" i="67" s="1"/>
  <c r="C12" i="67"/>
  <c r="J11" i="67"/>
  <c r="E11" i="67"/>
  <c r="K11" i="67" s="1"/>
  <c r="C11" i="67"/>
  <c r="J10" i="67"/>
  <c r="E10" i="67"/>
  <c r="K10" i="67" s="1"/>
  <c r="C10" i="67"/>
  <c r="J9" i="67"/>
  <c r="E9" i="67"/>
  <c r="K9" i="67" s="1"/>
  <c r="C9" i="67"/>
  <c r="J8" i="67"/>
  <c r="E8" i="67"/>
  <c r="K8" i="67" s="1"/>
  <c r="C8" i="67"/>
  <c r="J7" i="67"/>
  <c r="E7" i="67"/>
  <c r="C7" i="67"/>
  <c r="J6" i="67"/>
  <c r="E6" i="67"/>
  <c r="K6" i="67" s="1"/>
  <c r="C6" i="67"/>
  <c r="J5" i="67"/>
  <c r="E5" i="67"/>
  <c r="C5" i="67"/>
  <c r="J4" i="67"/>
  <c r="E4" i="67"/>
  <c r="K4" i="67" s="1"/>
  <c r="C4" i="67"/>
  <c r="J3" i="67"/>
  <c r="E3" i="67"/>
  <c r="K3" i="67" s="1"/>
  <c r="C3" i="67"/>
  <c r="J2" i="67"/>
  <c r="E2" i="67"/>
  <c r="K2" i="67" s="1"/>
  <c r="C2" i="67"/>
  <c r="L2" i="67" l="1"/>
  <c r="F2" i="67"/>
  <c r="L23" i="67"/>
  <c r="L29" i="67"/>
  <c r="L4" i="67"/>
  <c r="L9" i="67"/>
  <c r="L14" i="67"/>
  <c r="F11" i="67"/>
  <c r="G11" i="67" s="1"/>
  <c r="M11" i="67" s="1"/>
  <c r="N11" i="67" s="1"/>
  <c r="F30" i="67"/>
  <c r="G30" i="67" s="1"/>
  <c r="M30" i="67" s="1"/>
  <c r="N30" i="67" s="1"/>
  <c r="L8" i="67"/>
  <c r="L10" i="67"/>
  <c r="F8" i="67"/>
  <c r="G8" i="67" s="1"/>
  <c r="M8" i="67" s="1"/>
  <c r="N8" i="67" s="1"/>
  <c r="F21" i="67"/>
  <c r="G21" i="67" s="1"/>
  <c r="G2" i="67"/>
  <c r="M2" i="67" s="1"/>
  <c r="O2" i="67" s="1"/>
  <c r="F4" i="67"/>
  <c r="G4" i="67" s="1"/>
  <c r="M4" i="67" s="1"/>
  <c r="N4" i="67" s="1"/>
  <c r="F6" i="67"/>
  <c r="G6" i="67" s="1"/>
  <c r="M6" i="67" s="1"/>
  <c r="N6" i="67" s="1"/>
  <c r="F9" i="67"/>
  <c r="G9" i="67" s="1"/>
  <c r="M9" i="67" s="1"/>
  <c r="N9" i="67" s="1"/>
  <c r="F13" i="67"/>
  <c r="G13" i="67" s="1"/>
  <c r="F14" i="67"/>
  <c r="G14" i="67" s="1"/>
  <c r="M14" i="67" s="1"/>
  <c r="N14" i="67" s="1"/>
  <c r="F15" i="67"/>
  <c r="G15" i="67" s="1"/>
  <c r="M15" i="67" s="1"/>
  <c r="N15" i="67" s="1"/>
  <c r="F16" i="67"/>
  <c r="G16" i="67" s="1"/>
  <c r="F18" i="67"/>
  <c r="G18" i="67" s="1"/>
  <c r="M18" i="67" s="1"/>
  <c r="N18" i="67" s="1"/>
  <c r="F10" i="67"/>
  <c r="G10" i="67" s="1"/>
  <c r="M10" i="67" s="1"/>
  <c r="N10" i="67" s="1"/>
  <c r="F12" i="67"/>
  <c r="G12" i="67" s="1"/>
  <c r="K5" i="67"/>
  <c r="F5" i="67"/>
  <c r="G5" i="67" s="1"/>
  <c r="L15" i="67"/>
  <c r="K7" i="67"/>
  <c r="F7" i="67"/>
  <c r="G7" i="67" s="1"/>
  <c r="L20" i="67"/>
  <c r="L24" i="67"/>
  <c r="F3" i="67"/>
  <c r="G3" i="67" s="1"/>
  <c r="L6" i="67"/>
  <c r="L11" i="67"/>
  <c r="K12" i="67"/>
  <c r="F19" i="67"/>
  <c r="G19" i="67" s="1"/>
  <c r="K19" i="67"/>
  <c r="F25" i="67"/>
  <c r="G25" i="67" s="1"/>
  <c r="K25" i="67"/>
  <c r="K16" i="67"/>
  <c r="F20" i="67"/>
  <c r="G20" i="67" s="1"/>
  <c r="M20" i="67" s="1"/>
  <c r="N20" i="67" s="1"/>
  <c r="K21" i="67"/>
  <c r="L22" i="67"/>
  <c r="F31" i="67"/>
  <c r="G31" i="67" s="1"/>
  <c r="M31" i="67" s="1"/>
  <c r="N31" i="67" s="1"/>
  <c r="K13" i="67"/>
  <c r="L17" i="67"/>
  <c r="F22" i="67"/>
  <c r="G22" i="67" s="1"/>
  <c r="M22" i="67" s="1"/>
  <c r="F24" i="67"/>
  <c r="G24" i="67" s="1"/>
  <c r="M24" i="67" s="1"/>
  <c r="N24" i="67" s="1"/>
  <c r="F27" i="67"/>
  <c r="G27" i="67" s="1"/>
  <c r="M27" i="67" s="1"/>
  <c r="N27" i="67" s="1"/>
  <c r="F28" i="67"/>
  <c r="G28" i="67" s="1"/>
  <c r="L31" i="67"/>
  <c r="F17" i="67"/>
  <c r="G17" i="67" s="1"/>
  <c r="M17" i="67" s="1"/>
  <c r="F23" i="67"/>
  <c r="G23" i="67" s="1"/>
  <c r="M23" i="67" s="1"/>
  <c r="N23" i="67" s="1"/>
  <c r="L27" i="67"/>
  <c r="K28" i="67"/>
  <c r="F29" i="67"/>
  <c r="G29" i="67" s="1"/>
  <c r="M29" i="67" s="1"/>
  <c r="N29" i="67" s="1"/>
  <c r="O26" i="67"/>
  <c r="M3" i="67" l="1"/>
  <c r="N3" i="67" s="1"/>
  <c r="M5" i="67"/>
  <c r="N5" i="67" s="1"/>
  <c r="O30" i="67"/>
  <c r="N2" i="67"/>
  <c r="O31" i="67"/>
  <c r="O4" i="67"/>
  <c r="O29" i="67"/>
  <c r="M13" i="67"/>
  <c r="N13" i="67" s="1"/>
  <c r="O27" i="67"/>
  <c r="M16" i="67"/>
  <c r="N16" i="67" s="1"/>
  <c r="O10" i="67"/>
  <c r="M7" i="67"/>
  <c r="N7" i="67" s="1"/>
  <c r="O11" i="67"/>
  <c r="O23" i="67"/>
  <c r="L28" i="67"/>
  <c r="L21" i="67"/>
  <c r="L12" i="67"/>
  <c r="L25" i="67"/>
  <c r="L19" i="67"/>
  <c r="O3" i="67"/>
  <c r="L3" i="67"/>
  <c r="O9" i="67"/>
  <c r="M12" i="67"/>
  <c r="N12" i="67" s="1"/>
  <c r="L7" i="67"/>
  <c r="O5" i="67"/>
  <c r="L5" i="67"/>
  <c r="M28" i="67"/>
  <c r="N28" i="67" s="1"/>
  <c r="N22" i="67"/>
  <c r="O22" i="67"/>
  <c r="M25" i="67"/>
  <c r="N25" i="67" s="1"/>
  <c r="M19" i="67"/>
  <c r="N19" i="67" s="1"/>
  <c r="O17" i="67"/>
  <c r="N17" i="67"/>
  <c r="L13" i="67"/>
  <c r="L16" i="67"/>
  <c r="M21" i="67"/>
  <c r="N21" i="67" s="1"/>
  <c r="O18" i="67"/>
  <c r="O20" i="67"/>
  <c r="O14" i="67"/>
  <c r="O8" i="67"/>
  <c r="O24" i="67"/>
  <c r="O15" i="67"/>
  <c r="O6" i="67"/>
  <c r="O13" i="67" l="1"/>
  <c r="O12" i="67"/>
  <c r="O7" i="67"/>
  <c r="O16" i="67"/>
  <c r="O25" i="67"/>
  <c r="O21" i="67"/>
  <c r="O19" i="67"/>
  <c r="O28" i="67"/>
  <c r="N61" i="60" l="1"/>
  <c r="M61" i="60"/>
  <c r="K61" i="60"/>
  <c r="N60" i="60"/>
  <c r="M60" i="60"/>
  <c r="K60" i="60"/>
  <c r="N59" i="60"/>
  <c r="M59" i="60"/>
  <c r="K59" i="60"/>
  <c r="M58" i="60"/>
  <c r="K58" i="60"/>
  <c r="N57" i="60"/>
  <c r="M57" i="60"/>
  <c r="K57" i="60"/>
  <c r="N56" i="60"/>
  <c r="M56" i="60"/>
  <c r="K56" i="60"/>
  <c r="N54" i="60"/>
  <c r="M54" i="60"/>
  <c r="K54" i="60"/>
  <c r="N53" i="60"/>
  <c r="M53" i="60"/>
  <c r="K53" i="60"/>
  <c r="N52" i="60"/>
  <c r="M52" i="60"/>
  <c r="K52" i="60"/>
  <c r="N51" i="60"/>
  <c r="M51" i="60"/>
  <c r="K51" i="60"/>
  <c r="N50" i="60"/>
  <c r="M50" i="60"/>
  <c r="K50" i="60"/>
  <c r="N49" i="60"/>
  <c r="M49" i="60"/>
  <c r="K49" i="60"/>
  <c r="N48" i="60"/>
  <c r="M48" i="60"/>
  <c r="K48" i="60"/>
  <c r="N47" i="60"/>
  <c r="K47" i="60"/>
  <c r="N46" i="60"/>
  <c r="M46" i="60"/>
  <c r="K46" i="60"/>
  <c r="N45" i="60"/>
  <c r="M45" i="60"/>
  <c r="K45" i="60"/>
  <c r="N44" i="60"/>
  <c r="M44" i="60"/>
  <c r="K44" i="60"/>
  <c r="M43" i="60"/>
  <c r="K43" i="60"/>
  <c r="N42" i="60"/>
  <c r="M42" i="60"/>
  <c r="K42" i="60"/>
  <c r="M41" i="60"/>
  <c r="K41" i="60"/>
  <c r="N40" i="60"/>
  <c r="K40" i="60"/>
  <c r="N39" i="60"/>
  <c r="M39" i="60"/>
  <c r="K39" i="60"/>
  <c r="N38" i="60"/>
  <c r="M38" i="60"/>
  <c r="K38" i="60"/>
  <c r="N37" i="60"/>
  <c r="M37" i="60"/>
  <c r="K37" i="60"/>
  <c r="N36" i="60"/>
  <c r="K36" i="60"/>
  <c r="M35" i="60"/>
  <c r="K35" i="60"/>
  <c r="N34" i="60"/>
  <c r="M34" i="60"/>
  <c r="K34" i="60"/>
  <c r="N33" i="60"/>
  <c r="M33" i="60"/>
  <c r="K33" i="60"/>
  <c r="N30" i="60"/>
  <c r="M30" i="60"/>
  <c r="K30" i="60"/>
  <c r="N29" i="60"/>
  <c r="M29" i="60"/>
  <c r="K29" i="60"/>
  <c r="N28" i="60"/>
  <c r="M28" i="60"/>
  <c r="K28" i="60"/>
  <c r="N27" i="60"/>
  <c r="M27" i="60"/>
  <c r="K27" i="60"/>
  <c r="N26" i="60"/>
  <c r="M26" i="60"/>
  <c r="K26" i="60"/>
  <c r="N25" i="60"/>
  <c r="M25" i="60"/>
  <c r="K25" i="60"/>
  <c r="N24" i="60"/>
  <c r="M24" i="60"/>
  <c r="K24" i="60"/>
  <c r="N23" i="60"/>
  <c r="M23" i="60"/>
  <c r="K23" i="60"/>
  <c r="N22" i="60"/>
  <c r="M22" i="60"/>
  <c r="K22" i="60"/>
  <c r="N21" i="60"/>
  <c r="M21" i="60"/>
  <c r="K21" i="60"/>
  <c r="N20" i="60"/>
  <c r="M20" i="60"/>
  <c r="K20" i="60"/>
  <c r="N19" i="60"/>
  <c r="M19" i="60"/>
  <c r="K19" i="60"/>
  <c r="N18" i="60"/>
  <c r="M18" i="60"/>
  <c r="K18" i="60"/>
  <c r="N17" i="60"/>
  <c r="M17" i="60"/>
  <c r="K17" i="60"/>
  <c r="N16" i="60"/>
  <c r="K16" i="60"/>
  <c r="N15" i="60"/>
  <c r="M15" i="60"/>
  <c r="K15" i="60"/>
  <c r="N14" i="60"/>
  <c r="M14" i="60"/>
  <c r="K14" i="60"/>
  <c r="N13" i="60"/>
  <c r="M13" i="60"/>
  <c r="K13" i="60"/>
  <c r="M12" i="60"/>
  <c r="K12" i="60"/>
  <c r="M11" i="60"/>
  <c r="K11" i="60"/>
  <c r="N10" i="60"/>
  <c r="M10" i="60"/>
  <c r="K10" i="60"/>
  <c r="N9" i="60"/>
  <c r="M9" i="60"/>
  <c r="K9" i="60"/>
  <c r="N8" i="60"/>
  <c r="M8" i="60"/>
  <c r="K8" i="60"/>
  <c r="N7" i="60"/>
  <c r="M7" i="60"/>
  <c r="K7" i="60"/>
  <c r="N6" i="60"/>
  <c r="M6" i="60"/>
  <c r="K6" i="60"/>
  <c r="M5" i="60"/>
  <c r="K5" i="60"/>
  <c r="N4" i="60"/>
  <c r="M4" i="60"/>
  <c r="K4" i="60"/>
  <c r="N3" i="60"/>
  <c r="M3" i="60"/>
  <c r="K3" i="60"/>
  <c r="N2" i="60"/>
  <c r="M2" i="60"/>
  <c r="K2" i="60"/>
  <c r="N61" i="58"/>
  <c r="M61" i="58"/>
  <c r="K61" i="58"/>
  <c r="N60" i="58"/>
  <c r="M60" i="58"/>
  <c r="K60" i="58"/>
  <c r="N59" i="58"/>
  <c r="M59" i="58"/>
  <c r="K59" i="58"/>
  <c r="M58" i="58"/>
  <c r="K58" i="58"/>
  <c r="N57" i="58"/>
  <c r="M57" i="58"/>
  <c r="K57" i="58"/>
  <c r="N56" i="58"/>
  <c r="M56" i="58"/>
  <c r="K56" i="58"/>
  <c r="N55" i="58"/>
  <c r="M55" i="58"/>
  <c r="K55" i="58"/>
  <c r="N54" i="58"/>
  <c r="M54" i="58"/>
  <c r="K54" i="58"/>
  <c r="N53" i="58"/>
  <c r="M53" i="58"/>
  <c r="K53" i="58"/>
  <c r="N52" i="58"/>
  <c r="M52" i="58"/>
  <c r="K52" i="58"/>
  <c r="N51" i="58"/>
  <c r="M51" i="58"/>
  <c r="K51" i="58"/>
  <c r="N50" i="58"/>
  <c r="M50" i="58"/>
  <c r="K50" i="58"/>
  <c r="N49" i="58"/>
  <c r="M49" i="58"/>
  <c r="K49" i="58"/>
  <c r="N48" i="58"/>
  <c r="M48" i="58"/>
  <c r="K48" i="58"/>
  <c r="N47" i="58"/>
  <c r="K47" i="58"/>
  <c r="N46" i="58"/>
  <c r="M46" i="58"/>
  <c r="K46" i="58"/>
  <c r="N45" i="58"/>
  <c r="M45" i="58"/>
  <c r="K45" i="58"/>
  <c r="N44" i="58"/>
  <c r="M44" i="58"/>
  <c r="K44" i="58"/>
  <c r="M43" i="58"/>
  <c r="K43" i="58"/>
  <c r="N42" i="58"/>
  <c r="M42" i="58"/>
  <c r="K42" i="58"/>
  <c r="M41" i="58"/>
  <c r="K41" i="58"/>
  <c r="N40" i="58"/>
  <c r="K40" i="58"/>
  <c r="N39" i="58"/>
  <c r="M39" i="58"/>
  <c r="K39" i="58"/>
  <c r="N38" i="58"/>
  <c r="M38" i="58"/>
  <c r="K38" i="58"/>
  <c r="N37" i="58"/>
  <c r="M37" i="58"/>
  <c r="K37" i="58"/>
  <c r="N36" i="58"/>
  <c r="K36" i="58"/>
  <c r="M35" i="58"/>
  <c r="K35" i="58"/>
  <c r="N34" i="58"/>
  <c r="M34" i="58"/>
  <c r="K34" i="58"/>
  <c r="N33" i="58"/>
  <c r="M33" i="58"/>
  <c r="K33" i="58"/>
  <c r="N30" i="58"/>
  <c r="M30" i="58"/>
  <c r="K30" i="58"/>
  <c r="N29" i="58"/>
  <c r="M29" i="58"/>
  <c r="K29" i="58"/>
  <c r="N28" i="58"/>
  <c r="M28" i="58"/>
  <c r="K28" i="58"/>
  <c r="N27" i="58"/>
  <c r="M27" i="58"/>
  <c r="K27" i="58"/>
  <c r="N26" i="58"/>
  <c r="M26" i="58"/>
  <c r="K26" i="58"/>
  <c r="N25" i="58"/>
  <c r="M25" i="58"/>
  <c r="K25" i="58"/>
  <c r="N24" i="58"/>
  <c r="M24" i="58"/>
  <c r="K24" i="58"/>
  <c r="N23" i="58"/>
  <c r="M23" i="58"/>
  <c r="K23" i="58"/>
  <c r="N22" i="58"/>
  <c r="M22" i="58"/>
  <c r="K22" i="58"/>
  <c r="N21" i="58"/>
  <c r="M21" i="58"/>
  <c r="K21" i="58"/>
  <c r="N20" i="58"/>
  <c r="M20" i="58"/>
  <c r="K20" i="58"/>
  <c r="M19" i="58"/>
  <c r="K19" i="58"/>
  <c r="N18" i="58"/>
  <c r="M18" i="58"/>
  <c r="K18" i="58"/>
  <c r="N17" i="58"/>
  <c r="M17" i="58"/>
  <c r="K17" i="58"/>
  <c r="N16" i="58"/>
  <c r="K16" i="58"/>
  <c r="N15" i="58"/>
  <c r="M15" i="58"/>
  <c r="K15" i="58"/>
  <c r="N14" i="58"/>
  <c r="M14" i="58"/>
  <c r="K14" i="58"/>
  <c r="N13" i="58"/>
  <c r="M13" i="58"/>
  <c r="K13" i="58"/>
  <c r="M12" i="58"/>
  <c r="K12" i="58"/>
  <c r="M11" i="58"/>
  <c r="K11" i="58"/>
  <c r="N10" i="58"/>
  <c r="M10" i="58"/>
  <c r="K10" i="58"/>
  <c r="N9" i="58"/>
  <c r="M9" i="58"/>
  <c r="K9" i="58"/>
  <c r="N8" i="58"/>
  <c r="M8" i="58"/>
  <c r="K8" i="58"/>
  <c r="N7" i="58"/>
  <c r="M7" i="58"/>
  <c r="K7" i="58"/>
  <c r="N6" i="58"/>
  <c r="M6" i="58"/>
  <c r="K6" i="58"/>
  <c r="M5" i="58"/>
  <c r="K5" i="58"/>
  <c r="N4" i="58"/>
  <c r="M4" i="58"/>
  <c r="K4" i="58"/>
  <c r="N3" i="58"/>
  <c r="M3" i="58"/>
  <c r="K3" i="58"/>
  <c r="N2" i="58"/>
  <c r="M2" i="58"/>
  <c r="K2" i="58"/>
  <c r="N61" i="57"/>
  <c r="M61" i="57"/>
  <c r="K61" i="57"/>
  <c r="N60" i="57"/>
  <c r="M60" i="57"/>
  <c r="K60" i="57"/>
  <c r="N59" i="57"/>
  <c r="M59" i="57"/>
  <c r="K59" i="57"/>
  <c r="M58" i="57"/>
  <c r="K58" i="57"/>
  <c r="N57" i="57"/>
  <c r="M57" i="57"/>
  <c r="K57" i="57"/>
  <c r="N56" i="57"/>
  <c r="M56" i="57"/>
  <c r="K56" i="57"/>
  <c r="N55" i="57"/>
  <c r="M55" i="57"/>
  <c r="K55" i="57"/>
  <c r="N54" i="57"/>
  <c r="M54" i="57"/>
  <c r="K54" i="57"/>
  <c r="N53" i="57"/>
  <c r="M53" i="57"/>
  <c r="K53" i="57"/>
  <c r="N52" i="57"/>
  <c r="M52" i="57"/>
  <c r="K52" i="57"/>
  <c r="N51" i="57"/>
  <c r="M51" i="57"/>
  <c r="K51" i="57"/>
  <c r="N50" i="57"/>
  <c r="M50" i="57"/>
  <c r="K50" i="57"/>
  <c r="N49" i="57"/>
  <c r="M49" i="57"/>
  <c r="K49" i="57"/>
  <c r="N48" i="57"/>
  <c r="M48" i="57"/>
  <c r="K48" i="57"/>
  <c r="N47" i="57"/>
  <c r="K47" i="57"/>
  <c r="N46" i="57"/>
  <c r="M46" i="57"/>
  <c r="K46" i="57"/>
  <c r="N45" i="57"/>
  <c r="M45" i="57"/>
  <c r="K45" i="57"/>
  <c r="N44" i="57"/>
  <c r="M44" i="57"/>
  <c r="K44" i="57"/>
  <c r="M43" i="57"/>
  <c r="K43" i="57"/>
  <c r="N42" i="57"/>
  <c r="M42" i="57"/>
  <c r="K42" i="57"/>
  <c r="M41" i="57"/>
  <c r="K41" i="57"/>
  <c r="N40" i="57"/>
  <c r="K40" i="57"/>
  <c r="N39" i="57"/>
  <c r="M39" i="57"/>
  <c r="K39" i="57"/>
  <c r="N38" i="57"/>
  <c r="M38" i="57"/>
  <c r="K38" i="57"/>
  <c r="N37" i="57"/>
  <c r="M37" i="57"/>
  <c r="K37" i="57"/>
  <c r="N36" i="57"/>
  <c r="K36" i="57"/>
  <c r="M35" i="57"/>
  <c r="K35" i="57"/>
  <c r="N34" i="57"/>
  <c r="M34" i="57"/>
  <c r="K34" i="57"/>
  <c r="N33" i="57"/>
  <c r="M33" i="57"/>
  <c r="K33" i="57"/>
  <c r="N30" i="57"/>
  <c r="M30" i="57"/>
  <c r="K30" i="57"/>
  <c r="N29" i="57"/>
  <c r="M29" i="57"/>
  <c r="K29" i="57"/>
  <c r="N28" i="57"/>
  <c r="M28" i="57"/>
  <c r="K28" i="57"/>
  <c r="N27" i="57"/>
  <c r="M27" i="57"/>
  <c r="K27" i="57"/>
  <c r="N26" i="57"/>
  <c r="M26" i="57"/>
  <c r="K26" i="57"/>
  <c r="N25" i="57"/>
  <c r="M25" i="57"/>
  <c r="K25" i="57"/>
  <c r="N24" i="57"/>
  <c r="M24" i="57"/>
  <c r="K24" i="57"/>
  <c r="N23" i="57"/>
  <c r="M23" i="57"/>
  <c r="K23" i="57"/>
  <c r="N22" i="57"/>
  <c r="M22" i="57"/>
  <c r="K22" i="57"/>
  <c r="N21" i="57"/>
  <c r="M21" i="57"/>
  <c r="K21" i="57"/>
  <c r="N20" i="57"/>
  <c r="M20" i="57"/>
  <c r="K20" i="57"/>
  <c r="N19" i="57"/>
  <c r="M19" i="57"/>
  <c r="K19" i="57"/>
  <c r="N18" i="57"/>
  <c r="M18" i="57"/>
  <c r="K18" i="57"/>
  <c r="N17" i="57"/>
  <c r="M17" i="57"/>
  <c r="K17" i="57"/>
  <c r="N16" i="57"/>
  <c r="K16" i="57"/>
  <c r="N15" i="57"/>
  <c r="M15" i="57"/>
  <c r="K15" i="57"/>
  <c r="N14" i="57"/>
  <c r="M14" i="57"/>
  <c r="K14" i="57"/>
  <c r="N13" i="57"/>
  <c r="M13" i="57"/>
  <c r="K13" i="57"/>
  <c r="M12" i="57"/>
  <c r="K12" i="57"/>
  <c r="M11" i="57"/>
  <c r="K11" i="57"/>
  <c r="N10" i="57"/>
  <c r="M10" i="57"/>
  <c r="K10" i="57"/>
  <c r="N9" i="57"/>
  <c r="M9" i="57"/>
  <c r="K9" i="57"/>
  <c r="N8" i="57"/>
  <c r="M8" i="57"/>
  <c r="K8" i="57"/>
  <c r="N7" i="57"/>
  <c r="M7" i="57"/>
  <c r="K7" i="57"/>
  <c r="N6" i="57"/>
  <c r="M6" i="57"/>
  <c r="K6" i="57"/>
  <c r="M5" i="57"/>
  <c r="K5" i="57"/>
  <c r="N4" i="57"/>
  <c r="M4" i="57"/>
  <c r="K4" i="57"/>
  <c r="N3" i="57"/>
  <c r="M3" i="57"/>
  <c r="K3" i="57"/>
  <c r="N2" i="57"/>
  <c r="M2" i="57"/>
  <c r="K2" i="57"/>
  <c r="N61" i="56"/>
  <c r="M61" i="56"/>
  <c r="K61" i="56"/>
  <c r="N60" i="56"/>
  <c r="M60" i="56"/>
  <c r="K60" i="56"/>
  <c r="N59" i="56"/>
  <c r="M59" i="56"/>
  <c r="K59" i="56"/>
  <c r="M58" i="56"/>
  <c r="K58" i="56"/>
  <c r="N57" i="56"/>
  <c r="M57" i="56"/>
  <c r="K57" i="56"/>
  <c r="N56" i="56"/>
  <c r="M56" i="56"/>
  <c r="K56" i="56"/>
  <c r="N55" i="56"/>
  <c r="M55" i="56"/>
  <c r="K55" i="56"/>
  <c r="N54" i="56"/>
  <c r="M54" i="56"/>
  <c r="K54" i="56"/>
  <c r="N53" i="56"/>
  <c r="M53" i="56"/>
  <c r="K53" i="56"/>
  <c r="N52" i="56"/>
  <c r="M52" i="56"/>
  <c r="K52" i="56"/>
  <c r="N51" i="56"/>
  <c r="M51" i="56"/>
  <c r="K51" i="56"/>
  <c r="N50" i="56"/>
  <c r="M50" i="56"/>
  <c r="K50" i="56"/>
  <c r="N49" i="56"/>
  <c r="M49" i="56"/>
  <c r="K49" i="56"/>
  <c r="N48" i="56"/>
  <c r="M48" i="56"/>
  <c r="K48" i="56"/>
  <c r="N47" i="56"/>
  <c r="K47" i="56"/>
  <c r="N46" i="56"/>
  <c r="M46" i="56"/>
  <c r="K46" i="56"/>
  <c r="N45" i="56"/>
  <c r="M45" i="56"/>
  <c r="K45" i="56"/>
  <c r="N44" i="56"/>
  <c r="M44" i="56"/>
  <c r="K44" i="56"/>
  <c r="M43" i="56"/>
  <c r="K43" i="56"/>
  <c r="N42" i="56"/>
  <c r="M42" i="56"/>
  <c r="K42" i="56"/>
  <c r="M41" i="56"/>
  <c r="K41" i="56"/>
  <c r="N40" i="56"/>
  <c r="K40" i="56"/>
  <c r="N39" i="56"/>
  <c r="M39" i="56"/>
  <c r="K39" i="56"/>
  <c r="N38" i="56"/>
  <c r="M38" i="56"/>
  <c r="K38" i="56"/>
  <c r="N37" i="56"/>
  <c r="M37" i="56"/>
  <c r="K37" i="56"/>
  <c r="N36" i="56"/>
  <c r="K36" i="56"/>
  <c r="M35" i="56"/>
  <c r="K35" i="56"/>
  <c r="N34" i="56"/>
  <c r="M34" i="56"/>
  <c r="K34" i="56"/>
  <c r="N33" i="56"/>
  <c r="M33" i="56"/>
  <c r="K33" i="56"/>
  <c r="N30" i="56"/>
  <c r="M30" i="56"/>
  <c r="K30" i="56"/>
  <c r="N29" i="56"/>
  <c r="M29" i="56"/>
  <c r="K29" i="56"/>
  <c r="N28" i="56"/>
  <c r="M28" i="56"/>
  <c r="K28" i="56"/>
  <c r="N27" i="56"/>
  <c r="M27" i="56"/>
  <c r="K27" i="56"/>
  <c r="N26" i="56"/>
  <c r="M26" i="56"/>
  <c r="K26" i="56"/>
  <c r="N25" i="56"/>
  <c r="M25" i="56"/>
  <c r="K25" i="56"/>
  <c r="N24" i="56"/>
  <c r="M24" i="56"/>
  <c r="K24" i="56"/>
  <c r="N23" i="56"/>
  <c r="M23" i="56"/>
  <c r="K23" i="56"/>
  <c r="N22" i="56"/>
  <c r="M22" i="56"/>
  <c r="K22" i="56"/>
  <c r="N21" i="56"/>
  <c r="M21" i="56"/>
  <c r="K21" i="56"/>
  <c r="N20" i="56"/>
  <c r="M20" i="56"/>
  <c r="K20" i="56"/>
  <c r="N19" i="56"/>
  <c r="M19" i="56"/>
  <c r="K19" i="56"/>
  <c r="N18" i="56"/>
  <c r="M18" i="56"/>
  <c r="K18" i="56"/>
  <c r="N17" i="56"/>
  <c r="M17" i="56"/>
  <c r="K17" i="56"/>
  <c r="N16" i="56"/>
  <c r="K16" i="56"/>
  <c r="N15" i="56"/>
  <c r="M15" i="56"/>
  <c r="K15" i="56"/>
  <c r="N14" i="56"/>
  <c r="M14" i="56"/>
  <c r="K14" i="56"/>
  <c r="N13" i="56"/>
  <c r="M13" i="56"/>
  <c r="K13" i="56"/>
  <c r="M12" i="56"/>
  <c r="K12" i="56"/>
  <c r="M11" i="56"/>
  <c r="K11" i="56"/>
  <c r="N10" i="56"/>
  <c r="M10" i="56"/>
  <c r="K10" i="56"/>
  <c r="N9" i="56"/>
  <c r="M9" i="56"/>
  <c r="K9" i="56"/>
  <c r="N8" i="56"/>
  <c r="M8" i="56"/>
  <c r="K8" i="56"/>
  <c r="N7" i="56"/>
  <c r="M7" i="56"/>
  <c r="K7" i="56"/>
  <c r="N6" i="56"/>
  <c r="M6" i="56"/>
  <c r="K6" i="56"/>
  <c r="M5" i="56"/>
  <c r="K5" i="56"/>
  <c r="N4" i="56"/>
  <c r="M4" i="56"/>
  <c r="K4" i="56"/>
  <c r="N3" i="56"/>
  <c r="M3" i="56"/>
  <c r="K3" i="56"/>
  <c r="N2" i="56"/>
  <c r="M2" i="56"/>
  <c r="K2" i="56"/>
  <c r="N61" i="55"/>
  <c r="M61" i="55"/>
  <c r="K61" i="55"/>
  <c r="N60" i="55"/>
  <c r="M60" i="55"/>
  <c r="K60" i="55"/>
  <c r="N59" i="55"/>
  <c r="M59" i="55"/>
  <c r="K59" i="55"/>
  <c r="M58" i="55"/>
  <c r="K58" i="55"/>
  <c r="N57" i="55"/>
  <c r="M57" i="55"/>
  <c r="K57" i="55"/>
  <c r="N56" i="55"/>
  <c r="M56" i="55"/>
  <c r="K56" i="55"/>
  <c r="N55" i="55"/>
  <c r="M55" i="55"/>
  <c r="K55" i="55"/>
  <c r="N54" i="55"/>
  <c r="M54" i="55"/>
  <c r="K54" i="55"/>
  <c r="N53" i="55"/>
  <c r="M53" i="55"/>
  <c r="K53" i="55"/>
  <c r="N52" i="55"/>
  <c r="M52" i="55"/>
  <c r="K52" i="55"/>
  <c r="N51" i="55"/>
  <c r="M51" i="55"/>
  <c r="K51" i="55"/>
  <c r="N50" i="55"/>
  <c r="M50" i="55"/>
  <c r="K50" i="55"/>
  <c r="N49" i="55"/>
  <c r="M49" i="55"/>
  <c r="K49" i="55"/>
  <c r="N48" i="55"/>
  <c r="M48" i="55"/>
  <c r="K48" i="55"/>
  <c r="N47" i="55"/>
  <c r="K47" i="55"/>
  <c r="N46" i="55"/>
  <c r="K46" i="55"/>
  <c r="N45" i="55"/>
  <c r="M45" i="55"/>
  <c r="K45" i="55"/>
  <c r="N44" i="55"/>
  <c r="M44" i="55"/>
  <c r="K44" i="55"/>
  <c r="M43" i="55"/>
  <c r="K43" i="55"/>
  <c r="N42" i="55"/>
  <c r="M42" i="55"/>
  <c r="K42" i="55"/>
  <c r="M41" i="55"/>
  <c r="K41" i="55"/>
  <c r="N40" i="55"/>
  <c r="K40" i="55"/>
  <c r="N39" i="55"/>
  <c r="M39" i="55"/>
  <c r="K39" i="55"/>
  <c r="N38" i="55"/>
  <c r="M38" i="55"/>
  <c r="K38" i="55"/>
  <c r="N37" i="55"/>
  <c r="M37" i="55"/>
  <c r="K37" i="55"/>
  <c r="N36" i="55"/>
  <c r="K36" i="55"/>
  <c r="M35" i="55"/>
  <c r="K35" i="55"/>
  <c r="N34" i="55"/>
  <c r="M34" i="55"/>
  <c r="K34" i="55"/>
  <c r="N33" i="55"/>
  <c r="M33" i="55"/>
  <c r="K33" i="55"/>
  <c r="N30" i="55"/>
  <c r="M30" i="55"/>
  <c r="K30" i="55"/>
  <c r="N29" i="55"/>
  <c r="M29" i="55"/>
  <c r="K29" i="55"/>
  <c r="N28" i="55"/>
  <c r="M28" i="55"/>
  <c r="K28" i="55"/>
  <c r="N27" i="55"/>
  <c r="M27" i="55"/>
  <c r="K27" i="55"/>
  <c r="N26" i="55"/>
  <c r="M26" i="55"/>
  <c r="K26" i="55"/>
  <c r="N25" i="55"/>
  <c r="M25" i="55"/>
  <c r="K25" i="55"/>
  <c r="N24" i="55"/>
  <c r="M24" i="55"/>
  <c r="K24" i="55"/>
  <c r="N23" i="55"/>
  <c r="M23" i="55"/>
  <c r="K23" i="55"/>
  <c r="N22" i="55"/>
  <c r="M22" i="55"/>
  <c r="K22" i="55"/>
  <c r="N21" i="55"/>
  <c r="M21" i="55"/>
  <c r="K21" i="55"/>
  <c r="N20" i="55"/>
  <c r="M20" i="55"/>
  <c r="K20" i="55"/>
  <c r="N19" i="55"/>
  <c r="M19" i="55"/>
  <c r="K19" i="55"/>
  <c r="N18" i="55"/>
  <c r="M18" i="55"/>
  <c r="K18" i="55"/>
  <c r="N17" i="55"/>
  <c r="M17" i="55"/>
  <c r="K17" i="55"/>
  <c r="N16" i="55"/>
  <c r="K16" i="55"/>
  <c r="N15" i="55"/>
  <c r="K15" i="55"/>
  <c r="N14" i="55"/>
  <c r="M14" i="55"/>
  <c r="K14" i="55"/>
  <c r="N13" i="55"/>
  <c r="M13" i="55"/>
  <c r="K13" i="55"/>
  <c r="M12" i="55"/>
  <c r="K12" i="55"/>
  <c r="M11" i="55"/>
  <c r="K11" i="55"/>
  <c r="N10" i="55"/>
  <c r="M10" i="55"/>
  <c r="K10" i="55"/>
  <c r="N9" i="55"/>
  <c r="M9" i="55"/>
  <c r="K9" i="55"/>
  <c r="N8" i="55"/>
  <c r="M8" i="55"/>
  <c r="K8" i="55"/>
  <c r="N7" i="55"/>
  <c r="M7" i="55"/>
  <c r="K7" i="55"/>
  <c r="N6" i="55"/>
  <c r="M6" i="55"/>
  <c r="K6" i="55"/>
  <c r="M5" i="55"/>
  <c r="K5" i="55"/>
  <c r="N4" i="55"/>
  <c r="M4" i="55"/>
  <c r="K4" i="55"/>
  <c r="N3" i="55"/>
  <c r="M3" i="55"/>
  <c r="K3" i="55"/>
  <c r="N2" i="55"/>
  <c r="M2" i="55"/>
  <c r="K2" i="55"/>
  <c r="N61" i="54"/>
  <c r="M61" i="54"/>
  <c r="K61" i="54"/>
  <c r="R61" i="54" s="1"/>
  <c r="N60" i="54"/>
  <c r="M60" i="54"/>
  <c r="K60" i="54"/>
  <c r="R60" i="54" s="1"/>
  <c r="N59" i="54"/>
  <c r="M59" i="54"/>
  <c r="K59" i="54"/>
  <c r="R59" i="54" s="1"/>
  <c r="N58" i="54"/>
  <c r="M58" i="54"/>
  <c r="K58" i="54"/>
  <c r="R58" i="54" s="1"/>
  <c r="N57" i="54"/>
  <c r="M57" i="54"/>
  <c r="K57" i="54"/>
  <c r="R57" i="54" s="1"/>
  <c r="N56" i="54"/>
  <c r="M56" i="54"/>
  <c r="K56" i="54"/>
  <c r="R56" i="54" s="1"/>
  <c r="N55" i="54"/>
  <c r="M55" i="54"/>
  <c r="K55" i="54"/>
  <c r="R55" i="54" s="1"/>
  <c r="N54" i="54"/>
  <c r="M54" i="54"/>
  <c r="K54" i="54"/>
  <c r="R54" i="54" s="1"/>
  <c r="N53" i="54"/>
  <c r="M53" i="54"/>
  <c r="K53" i="54"/>
  <c r="R53" i="54" s="1"/>
  <c r="N52" i="54"/>
  <c r="M52" i="54"/>
  <c r="K52" i="54"/>
  <c r="R52" i="54" s="1"/>
  <c r="N51" i="54"/>
  <c r="M51" i="54"/>
  <c r="K51" i="54"/>
  <c r="R51" i="54" s="1"/>
  <c r="N50" i="54"/>
  <c r="M50" i="54"/>
  <c r="K50" i="54"/>
  <c r="R50" i="54" s="1"/>
  <c r="N49" i="54"/>
  <c r="M49" i="54"/>
  <c r="K49" i="54"/>
  <c r="R49" i="54" s="1"/>
  <c r="N48" i="54"/>
  <c r="M48" i="54"/>
  <c r="K48" i="54"/>
  <c r="R48" i="54" s="1"/>
  <c r="N47" i="54"/>
  <c r="M47" i="54"/>
  <c r="K47" i="54"/>
  <c r="R47" i="54" s="1"/>
  <c r="N46" i="54"/>
  <c r="M46" i="54"/>
  <c r="K46" i="54"/>
  <c r="R46" i="54" s="1"/>
  <c r="N45" i="54"/>
  <c r="M45" i="54"/>
  <c r="K45" i="54"/>
  <c r="R45" i="54" s="1"/>
  <c r="N44" i="54"/>
  <c r="M44" i="54"/>
  <c r="K44" i="54"/>
  <c r="R44" i="54" s="1"/>
  <c r="N43" i="54"/>
  <c r="M43" i="54"/>
  <c r="K43" i="54"/>
  <c r="R43" i="54" s="1"/>
  <c r="N42" i="54"/>
  <c r="M42" i="54"/>
  <c r="K42" i="54"/>
  <c r="R42" i="54" s="1"/>
  <c r="N41" i="54"/>
  <c r="M41" i="54"/>
  <c r="K41" i="54"/>
  <c r="R41" i="54" s="1"/>
  <c r="N40" i="54"/>
  <c r="M40" i="54"/>
  <c r="K40" i="54"/>
  <c r="R40" i="54" s="1"/>
  <c r="N39" i="54"/>
  <c r="M39" i="54"/>
  <c r="K39" i="54"/>
  <c r="R39" i="54" s="1"/>
  <c r="N38" i="54"/>
  <c r="M38" i="54"/>
  <c r="K38" i="54"/>
  <c r="R38" i="54" s="1"/>
  <c r="N37" i="54"/>
  <c r="M37" i="54"/>
  <c r="K37" i="54"/>
  <c r="R37" i="54" s="1"/>
  <c r="N36" i="54"/>
  <c r="M36" i="54"/>
  <c r="K36" i="54"/>
  <c r="R36" i="54" s="1"/>
  <c r="N35" i="54"/>
  <c r="M35" i="54"/>
  <c r="K35" i="54"/>
  <c r="R35" i="54" s="1"/>
  <c r="N34" i="54"/>
  <c r="M34" i="54"/>
  <c r="K34" i="54"/>
  <c r="R34" i="54" s="1"/>
  <c r="N33" i="54"/>
  <c r="M33" i="54"/>
  <c r="K33" i="54"/>
  <c r="N30" i="54"/>
  <c r="M30" i="54"/>
  <c r="K30" i="54"/>
  <c r="R30" i="54" s="1"/>
  <c r="N29" i="54"/>
  <c r="M29" i="54"/>
  <c r="K29" i="54"/>
  <c r="R29" i="54" s="1"/>
  <c r="N28" i="54"/>
  <c r="M28" i="54"/>
  <c r="K28" i="54"/>
  <c r="R28" i="54" s="1"/>
  <c r="N27" i="54"/>
  <c r="M27" i="54"/>
  <c r="K27" i="54"/>
  <c r="R27" i="54" s="1"/>
  <c r="N26" i="54"/>
  <c r="M26" i="54"/>
  <c r="K26" i="54"/>
  <c r="R26" i="54" s="1"/>
  <c r="N25" i="54"/>
  <c r="M25" i="54"/>
  <c r="K25" i="54"/>
  <c r="R25" i="54" s="1"/>
  <c r="N24" i="54"/>
  <c r="M24" i="54"/>
  <c r="K24" i="54"/>
  <c r="R24" i="54" s="1"/>
  <c r="N23" i="54"/>
  <c r="M23" i="54"/>
  <c r="K23" i="54"/>
  <c r="R23" i="54" s="1"/>
  <c r="N22" i="54"/>
  <c r="M22" i="54"/>
  <c r="K22" i="54"/>
  <c r="R22" i="54" s="1"/>
  <c r="N21" i="54"/>
  <c r="M21" i="54"/>
  <c r="K21" i="54"/>
  <c r="R21" i="54" s="1"/>
  <c r="N20" i="54"/>
  <c r="M20" i="54"/>
  <c r="K20" i="54"/>
  <c r="R20" i="54" s="1"/>
  <c r="N19" i="54"/>
  <c r="M19" i="54"/>
  <c r="K19" i="54"/>
  <c r="R19" i="54" s="1"/>
  <c r="N18" i="54"/>
  <c r="M18" i="54"/>
  <c r="K18" i="54"/>
  <c r="R18" i="54" s="1"/>
  <c r="N17" i="54"/>
  <c r="M17" i="54"/>
  <c r="K17" i="54"/>
  <c r="R17" i="54" s="1"/>
  <c r="N16" i="54"/>
  <c r="M16" i="54"/>
  <c r="K16" i="54"/>
  <c r="R16" i="54" s="1"/>
  <c r="N15" i="54"/>
  <c r="M15" i="54"/>
  <c r="K15" i="54"/>
  <c r="R15" i="54" s="1"/>
  <c r="N14" i="54"/>
  <c r="M14" i="54"/>
  <c r="K14" i="54"/>
  <c r="R14" i="54" s="1"/>
  <c r="N13" i="54"/>
  <c r="M13" i="54"/>
  <c r="K13" i="54"/>
  <c r="R13" i="54" s="1"/>
  <c r="N12" i="54"/>
  <c r="M12" i="54"/>
  <c r="K12" i="54"/>
  <c r="R12" i="54" s="1"/>
  <c r="N11" i="54"/>
  <c r="M11" i="54"/>
  <c r="K11" i="54"/>
  <c r="R11" i="54" s="1"/>
  <c r="N10" i="54"/>
  <c r="M10" i="54"/>
  <c r="K10" i="54"/>
  <c r="R10" i="54" s="1"/>
  <c r="N9" i="54"/>
  <c r="M9" i="54"/>
  <c r="K9" i="54"/>
  <c r="R9" i="54" s="1"/>
  <c r="N8" i="54"/>
  <c r="M8" i="54"/>
  <c r="K8" i="54"/>
  <c r="R8" i="54" s="1"/>
  <c r="N7" i="54"/>
  <c r="M7" i="54"/>
  <c r="K7" i="54"/>
  <c r="R7" i="54" s="1"/>
  <c r="N6" i="54"/>
  <c r="M6" i="54"/>
  <c r="K6" i="54"/>
  <c r="R6" i="54" s="1"/>
  <c r="N5" i="54"/>
  <c r="M5" i="54"/>
  <c r="K5" i="54"/>
  <c r="R5" i="54" s="1"/>
  <c r="N4" i="54"/>
  <c r="M4" i="54"/>
  <c r="K4" i="54"/>
  <c r="R4" i="54" s="1"/>
  <c r="N3" i="54"/>
  <c r="M3" i="54"/>
  <c r="K3" i="54"/>
  <c r="R3" i="54" s="1"/>
  <c r="N2" i="54"/>
  <c r="M2" i="54"/>
  <c r="K2" i="54"/>
  <c r="N61" i="53"/>
  <c r="M61" i="53"/>
  <c r="K61" i="53"/>
  <c r="R61" i="53" s="1"/>
  <c r="N60" i="53"/>
  <c r="M60" i="53"/>
  <c r="K60" i="53"/>
  <c r="R60" i="53" s="1"/>
  <c r="N59" i="53"/>
  <c r="M59" i="53"/>
  <c r="K59" i="53"/>
  <c r="R59" i="53" s="1"/>
  <c r="N58" i="53"/>
  <c r="M58" i="53"/>
  <c r="K58" i="53"/>
  <c r="R58" i="53" s="1"/>
  <c r="N57" i="53"/>
  <c r="M57" i="53"/>
  <c r="K57" i="53"/>
  <c r="R57" i="53" s="1"/>
  <c r="N56" i="53"/>
  <c r="M56" i="53"/>
  <c r="K56" i="53"/>
  <c r="R56" i="53" s="1"/>
  <c r="N55" i="53"/>
  <c r="M55" i="53"/>
  <c r="K55" i="53"/>
  <c r="R55" i="53" s="1"/>
  <c r="N54" i="53"/>
  <c r="M54" i="53"/>
  <c r="K54" i="53"/>
  <c r="R54" i="53" s="1"/>
  <c r="N53" i="53"/>
  <c r="M53" i="53"/>
  <c r="K53" i="53"/>
  <c r="R53" i="53" s="1"/>
  <c r="N52" i="53"/>
  <c r="M52" i="53"/>
  <c r="K52" i="53"/>
  <c r="R52" i="53" s="1"/>
  <c r="N51" i="53"/>
  <c r="M51" i="53"/>
  <c r="K51" i="53"/>
  <c r="R51" i="53" s="1"/>
  <c r="N50" i="53"/>
  <c r="M50" i="53"/>
  <c r="K50" i="53"/>
  <c r="R50" i="53" s="1"/>
  <c r="N49" i="53"/>
  <c r="M49" i="53"/>
  <c r="K49" i="53"/>
  <c r="R49" i="53" s="1"/>
  <c r="N48" i="53"/>
  <c r="M48" i="53"/>
  <c r="K48" i="53"/>
  <c r="R48" i="53" s="1"/>
  <c r="N47" i="53"/>
  <c r="M47" i="53"/>
  <c r="K47" i="53"/>
  <c r="R47" i="53" s="1"/>
  <c r="N46" i="53"/>
  <c r="M46" i="53"/>
  <c r="K46" i="53"/>
  <c r="R46" i="53" s="1"/>
  <c r="N45" i="53"/>
  <c r="M45" i="53"/>
  <c r="K45" i="53"/>
  <c r="R45" i="53" s="1"/>
  <c r="N44" i="53"/>
  <c r="M44" i="53"/>
  <c r="K44" i="53"/>
  <c r="R44" i="53" s="1"/>
  <c r="N43" i="53"/>
  <c r="M43" i="53"/>
  <c r="K43" i="53"/>
  <c r="R43" i="53" s="1"/>
  <c r="N42" i="53"/>
  <c r="M42" i="53"/>
  <c r="K42" i="53"/>
  <c r="R42" i="53" s="1"/>
  <c r="N41" i="53"/>
  <c r="M41" i="53"/>
  <c r="K41" i="53"/>
  <c r="R41" i="53" s="1"/>
  <c r="N40" i="53"/>
  <c r="M40" i="53"/>
  <c r="K40" i="53"/>
  <c r="R40" i="53" s="1"/>
  <c r="N39" i="53"/>
  <c r="M39" i="53"/>
  <c r="K39" i="53"/>
  <c r="R39" i="53" s="1"/>
  <c r="N38" i="53"/>
  <c r="M38" i="53"/>
  <c r="K38" i="53"/>
  <c r="R38" i="53" s="1"/>
  <c r="N37" i="53"/>
  <c r="M37" i="53"/>
  <c r="K37" i="53"/>
  <c r="R37" i="53" s="1"/>
  <c r="N36" i="53"/>
  <c r="M36" i="53"/>
  <c r="K36" i="53"/>
  <c r="R36" i="53" s="1"/>
  <c r="N35" i="53"/>
  <c r="M35" i="53"/>
  <c r="K35" i="53"/>
  <c r="R35" i="53" s="1"/>
  <c r="N34" i="53"/>
  <c r="M34" i="53"/>
  <c r="K34" i="53"/>
  <c r="R34" i="53" s="1"/>
  <c r="N33" i="53"/>
  <c r="M33" i="53"/>
  <c r="K33" i="53"/>
  <c r="N30" i="53"/>
  <c r="M30" i="53"/>
  <c r="K30" i="53"/>
  <c r="R30" i="53" s="1"/>
  <c r="N29" i="53"/>
  <c r="M29" i="53"/>
  <c r="K29" i="53"/>
  <c r="R29" i="53" s="1"/>
  <c r="N28" i="53"/>
  <c r="M28" i="53"/>
  <c r="K28" i="53"/>
  <c r="R28" i="53" s="1"/>
  <c r="N27" i="53"/>
  <c r="M27" i="53"/>
  <c r="K27" i="53"/>
  <c r="R27" i="53" s="1"/>
  <c r="N26" i="53"/>
  <c r="M26" i="53"/>
  <c r="K26" i="53"/>
  <c r="R26" i="53" s="1"/>
  <c r="N25" i="53"/>
  <c r="M25" i="53"/>
  <c r="K25" i="53"/>
  <c r="R25" i="53" s="1"/>
  <c r="N24" i="53"/>
  <c r="M24" i="53"/>
  <c r="K24" i="53"/>
  <c r="R24" i="53" s="1"/>
  <c r="N23" i="53"/>
  <c r="M23" i="53"/>
  <c r="K23" i="53"/>
  <c r="R23" i="53" s="1"/>
  <c r="N22" i="53"/>
  <c r="M22" i="53"/>
  <c r="K22" i="53"/>
  <c r="R22" i="53" s="1"/>
  <c r="N21" i="53"/>
  <c r="M21" i="53"/>
  <c r="K21" i="53"/>
  <c r="R21" i="53" s="1"/>
  <c r="N20" i="53"/>
  <c r="M20" i="53"/>
  <c r="K20" i="53"/>
  <c r="R20" i="53" s="1"/>
  <c r="N19" i="53"/>
  <c r="M19" i="53"/>
  <c r="K19" i="53"/>
  <c r="R19" i="53" s="1"/>
  <c r="N18" i="53"/>
  <c r="M18" i="53"/>
  <c r="K18" i="53"/>
  <c r="R18" i="53" s="1"/>
  <c r="N17" i="53"/>
  <c r="M17" i="53"/>
  <c r="K17" i="53"/>
  <c r="R17" i="53" s="1"/>
  <c r="N16" i="53"/>
  <c r="M16" i="53"/>
  <c r="K16" i="53"/>
  <c r="R16" i="53" s="1"/>
  <c r="N15" i="53"/>
  <c r="M15" i="53"/>
  <c r="K15" i="53"/>
  <c r="R15" i="53" s="1"/>
  <c r="N14" i="53"/>
  <c r="M14" i="53"/>
  <c r="K14" i="53"/>
  <c r="R14" i="53" s="1"/>
  <c r="N13" i="53"/>
  <c r="M13" i="53"/>
  <c r="K13" i="53"/>
  <c r="R13" i="53" s="1"/>
  <c r="N12" i="53"/>
  <c r="M12" i="53"/>
  <c r="K12" i="53"/>
  <c r="R12" i="53" s="1"/>
  <c r="N11" i="53"/>
  <c r="M11" i="53"/>
  <c r="K11" i="53"/>
  <c r="R11" i="53" s="1"/>
  <c r="N10" i="53"/>
  <c r="M10" i="53"/>
  <c r="K10" i="53"/>
  <c r="R10" i="53" s="1"/>
  <c r="N9" i="53"/>
  <c r="M9" i="53"/>
  <c r="K9" i="53"/>
  <c r="R9" i="53" s="1"/>
  <c r="N8" i="53"/>
  <c r="M8" i="53"/>
  <c r="K8" i="53"/>
  <c r="R8" i="53" s="1"/>
  <c r="N7" i="53"/>
  <c r="M7" i="53"/>
  <c r="K7" i="53"/>
  <c r="R7" i="53" s="1"/>
  <c r="N6" i="53"/>
  <c r="M6" i="53"/>
  <c r="K6" i="53"/>
  <c r="R6" i="53" s="1"/>
  <c r="N5" i="53"/>
  <c r="M5" i="53"/>
  <c r="K5" i="53"/>
  <c r="R5" i="53" s="1"/>
  <c r="N4" i="53"/>
  <c r="M4" i="53"/>
  <c r="K4" i="53"/>
  <c r="R4" i="53" s="1"/>
  <c r="N3" i="53"/>
  <c r="M3" i="53"/>
  <c r="K3" i="53"/>
  <c r="R3" i="53" s="1"/>
  <c r="N2" i="53"/>
  <c r="M2" i="53"/>
  <c r="K2" i="53"/>
  <c r="N61" i="52"/>
  <c r="M61" i="52"/>
  <c r="K61" i="52"/>
  <c r="R61" i="52" s="1"/>
  <c r="N60" i="52"/>
  <c r="M60" i="52"/>
  <c r="K60" i="52"/>
  <c r="R60" i="52" s="1"/>
  <c r="N59" i="52"/>
  <c r="M59" i="52"/>
  <c r="K59" i="52"/>
  <c r="R59" i="52" s="1"/>
  <c r="N58" i="52"/>
  <c r="M58" i="52"/>
  <c r="K58" i="52"/>
  <c r="R58" i="52" s="1"/>
  <c r="N57" i="52"/>
  <c r="M57" i="52"/>
  <c r="K57" i="52"/>
  <c r="R57" i="52" s="1"/>
  <c r="N56" i="52"/>
  <c r="M56" i="52"/>
  <c r="K56" i="52"/>
  <c r="R56" i="52" s="1"/>
  <c r="N55" i="52"/>
  <c r="M55" i="52"/>
  <c r="K55" i="52"/>
  <c r="R55" i="52" s="1"/>
  <c r="N54" i="52"/>
  <c r="M54" i="52"/>
  <c r="K54" i="52"/>
  <c r="R54" i="52" s="1"/>
  <c r="N53" i="52"/>
  <c r="M53" i="52"/>
  <c r="K53" i="52"/>
  <c r="R53" i="52" s="1"/>
  <c r="N52" i="52"/>
  <c r="M52" i="52"/>
  <c r="K52" i="52"/>
  <c r="R52" i="52" s="1"/>
  <c r="N51" i="52"/>
  <c r="M51" i="52"/>
  <c r="K51" i="52"/>
  <c r="R51" i="52" s="1"/>
  <c r="N50" i="52"/>
  <c r="M50" i="52"/>
  <c r="K50" i="52"/>
  <c r="R50" i="52" s="1"/>
  <c r="N49" i="52"/>
  <c r="M49" i="52"/>
  <c r="K49" i="52"/>
  <c r="R49" i="52" s="1"/>
  <c r="N48" i="52"/>
  <c r="M48" i="52"/>
  <c r="K48" i="52"/>
  <c r="R48" i="52" s="1"/>
  <c r="N47" i="52"/>
  <c r="M47" i="52"/>
  <c r="K47" i="52"/>
  <c r="R47" i="52" s="1"/>
  <c r="N46" i="52"/>
  <c r="M46" i="52"/>
  <c r="K46" i="52"/>
  <c r="R46" i="52" s="1"/>
  <c r="N45" i="52"/>
  <c r="M45" i="52"/>
  <c r="K45" i="52"/>
  <c r="R45" i="52" s="1"/>
  <c r="N44" i="52"/>
  <c r="M44" i="52"/>
  <c r="K44" i="52"/>
  <c r="R44" i="52" s="1"/>
  <c r="N43" i="52"/>
  <c r="M43" i="52"/>
  <c r="K43" i="52"/>
  <c r="R43" i="52" s="1"/>
  <c r="N42" i="52"/>
  <c r="M42" i="52"/>
  <c r="K42" i="52"/>
  <c r="R42" i="52" s="1"/>
  <c r="N41" i="52"/>
  <c r="M41" i="52"/>
  <c r="K41" i="52"/>
  <c r="R41" i="52" s="1"/>
  <c r="N40" i="52"/>
  <c r="M40" i="52"/>
  <c r="K40" i="52"/>
  <c r="R40" i="52" s="1"/>
  <c r="N39" i="52"/>
  <c r="M39" i="52"/>
  <c r="K39" i="52"/>
  <c r="R39" i="52" s="1"/>
  <c r="N38" i="52"/>
  <c r="M38" i="52"/>
  <c r="K38" i="52"/>
  <c r="R38" i="52" s="1"/>
  <c r="N37" i="52"/>
  <c r="M37" i="52"/>
  <c r="K37" i="52"/>
  <c r="R37" i="52" s="1"/>
  <c r="N36" i="52"/>
  <c r="M36" i="52"/>
  <c r="K36" i="52"/>
  <c r="R36" i="52" s="1"/>
  <c r="N35" i="52"/>
  <c r="M35" i="52"/>
  <c r="K35" i="52"/>
  <c r="R35" i="52" s="1"/>
  <c r="N34" i="52"/>
  <c r="M34" i="52"/>
  <c r="K34" i="52"/>
  <c r="R34" i="52" s="1"/>
  <c r="N33" i="52"/>
  <c r="M33" i="52"/>
  <c r="K33" i="52"/>
  <c r="N30" i="52"/>
  <c r="M30" i="52"/>
  <c r="K30" i="52"/>
  <c r="R30" i="52" s="1"/>
  <c r="N29" i="52"/>
  <c r="M29" i="52"/>
  <c r="K29" i="52"/>
  <c r="R29" i="52" s="1"/>
  <c r="N28" i="52"/>
  <c r="M28" i="52"/>
  <c r="K28" i="52"/>
  <c r="R28" i="52" s="1"/>
  <c r="N27" i="52"/>
  <c r="M27" i="52"/>
  <c r="K27" i="52"/>
  <c r="R27" i="52" s="1"/>
  <c r="N26" i="52"/>
  <c r="M26" i="52"/>
  <c r="K26" i="52"/>
  <c r="R26" i="52" s="1"/>
  <c r="N25" i="52"/>
  <c r="M25" i="52"/>
  <c r="K25" i="52"/>
  <c r="R25" i="52" s="1"/>
  <c r="N24" i="52"/>
  <c r="M24" i="52"/>
  <c r="K24" i="52"/>
  <c r="R24" i="52" s="1"/>
  <c r="N23" i="52"/>
  <c r="M23" i="52"/>
  <c r="K23" i="52"/>
  <c r="R23" i="52" s="1"/>
  <c r="N22" i="52"/>
  <c r="M22" i="52"/>
  <c r="K22" i="52"/>
  <c r="R22" i="52" s="1"/>
  <c r="N21" i="52"/>
  <c r="M21" i="52"/>
  <c r="K21" i="52"/>
  <c r="R21" i="52" s="1"/>
  <c r="N20" i="52"/>
  <c r="M20" i="52"/>
  <c r="K20" i="52"/>
  <c r="R20" i="52" s="1"/>
  <c r="N19" i="52"/>
  <c r="M19" i="52"/>
  <c r="K19" i="52"/>
  <c r="R19" i="52" s="1"/>
  <c r="N18" i="52"/>
  <c r="M18" i="52"/>
  <c r="K18" i="52"/>
  <c r="R18" i="52" s="1"/>
  <c r="N17" i="52"/>
  <c r="M17" i="52"/>
  <c r="K17" i="52"/>
  <c r="R17" i="52" s="1"/>
  <c r="N16" i="52"/>
  <c r="M16" i="52"/>
  <c r="K16" i="52"/>
  <c r="R16" i="52" s="1"/>
  <c r="N15" i="52"/>
  <c r="M15" i="52"/>
  <c r="K15" i="52"/>
  <c r="R15" i="52" s="1"/>
  <c r="N14" i="52"/>
  <c r="M14" i="52"/>
  <c r="K14" i="52"/>
  <c r="R14" i="52" s="1"/>
  <c r="N13" i="52"/>
  <c r="M13" i="52"/>
  <c r="K13" i="52"/>
  <c r="R13" i="52" s="1"/>
  <c r="N12" i="52"/>
  <c r="M12" i="52"/>
  <c r="K12" i="52"/>
  <c r="R12" i="52" s="1"/>
  <c r="N11" i="52"/>
  <c r="M11" i="52"/>
  <c r="K11" i="52"/>
  <c r="R11" i="52" s="1"/>
  <c r="N10" i="52"/>
  <c r="M10" i="52"/>
  <c r="K10" i="52"/>
  <c r="R10" i="52" s="1"/>
  <c r="N9" i="52"/>
  <c r="M9" i="52"/>
  <c r="K9" i="52"/>
  <c r="R9" i="52" s="1"/>
  <c r="N8" i="52"/>
  <c r="M8" i="52"/>
  <c r="K8" i="52"/>
  <c r="R8" i="52" s="1"/>
  <c r="N7" i="52"/>
  <c r="M7" i="52"/>
  <c r="K7" i="52"/>
  <c r="R7" i="52" s="1"/>
  <c r="N6" i="52"/>
  <c r="M6" i="52"/>
  <c r="K6" i="52"/>
  <c r="R6" i="52" s="1"/>
  <c r="N5" i="52"/>
  <c r="M5" i="52"/>
  <c r="K5" i="52"/>
  <c r="R5" i="52" s="1"/>
  <c r="N4" i="52"/>
  <c r="M4" i="52"/>
  <c r="K4" i="52"/>
  <c r="R4" i="52" s="1"/>
  <c r="N3" i="52"/>
  <c r="M3" i="52"/>
  <c r="K3" i="52"/>
  <c r="R3" i="52" s="1"/>
  <c r="N2" i="52"/>
  <c r="M2" i="52"/>
  <c r="K2" i="52"/>
  <c r="N61" i="51"/>
  <c r="M61" i="51"/>
  <c r="K61" i="51"/>
  <c r="R61" i="51" s="1"/>
  <c r="N60" i="51"/>
  <c r="M60" i="51"/>
  <c r="K60" i="51"/>
  <c r="R60" i="51" s="1"/>
  <c r="N59" i="51"/>
  <c r="M59" i="51"/>
  <c r="K59" i="51"/>
  <c r="R59" i="51" s="1"/>
  <c r="N58" i="51"/>
  <c r="M58" i="51"/>
  <c r="K58" i="51"/>
  <c r="R58" i="51" s="1"/>
  <c r="N57" i="51"/>
  <c r="M57" i="51"/>
  <c r="K57" i="51"/>
  <c r="R57" i="51" s="1"/>
  <c r="N56" i="51"/>
  <c r="M56" i="51"/>
  <c r="K56" i="51"/>
  <c r="R56" i="51" s="1"/>
  <c r="N55" i="51"/>
  <c r="M55" i="51"/>
  <c r="K55" i="51"/>
  <c r="R55" i="51" s="1"/>
  <c r="N54" i="51"/>
  <c r="M54" i="51"/>
  <c r="K54" i="51"/>
  <c r="R54" i="51" s="1"/>
  <c r="N53" i="51"/>
  <c r="M53" i="51"/>
  <c r="K53" i="51"/>
  <c r="R53" i="51" s="1"/>
  <c r="N52" i="51"/>
  <c r="M52" i="51"/>
  <c r="K52" i="51"/>
  <c r="R52" i="51" s="1"/>
  <c r="N51" i="51"/>
  <c r="M51" i="51"/>
  <c r="K51" i="51"/>
  <c r="R51" i="51" s="1"/>
  <c r="N50" i="51"/>
  <c r="M50" i="51"/>
  <c r="K50" i="51"/>
  <c r="R50" i="51" s="1"/>
  <c r="N49" i="51"/>
  <c r="M49" i="51"/>
  <c r="K49" i="51"/>
  <c r="R49" i="51" s="1"/>
  <c r="N48" i="51"/>
  <c r="M48" i="51"/>
  <c r="K48" i="51"/>
  <c r="R48" i="51" s="1"/>
  <c r="N47" i="51"/>
  <c r="M47" i="51"/>
  <c r="K47" i="51"/>
  <c r="R47" i="51" s="1"/>
  <c r="N46" i="51"/>
  <c r="M46" i="51"/>
  <c r="K46" i="51"/>
  <c r="R46" i="51" s="1"/>
  <c r="N45" i="51"/>
  <c r="M45" i="51"/>
  <c r="K45" i="51"/>
  <c r="R45" i="51" s="1"/>
  <c r="N44" i="51"/>
  <c r="M44" i="51"/>
  <c r="K44" i="51"/>
  <c r="R44" i="51" s="1"/>
  <c r="N43" i="51"/>
  <c r="M43" i="51"/>
  <c r="K43" i="51"/>
  <c r="R43" i="51" s="1"/>
  <c r="N42" i="51"/>
  <c r="M42" i="51"/>
  <c r="K42" i="51"/>
  <c r="R42" i="51" s="1"/>
  <c r="N41" i="51"/>
  <c r="M41" i="51"/>
  <c r="K41" i="51"/>
  <c r="R41" i="51" s="1"/>
  <c r="N40" i="51"/>
  <c r="M40" i="51"/>
  <c r="K40" i="51"/>
  <c r="R40" i="51" s="1"/>
  <c r="N39" i="51"/>
  <c r="M39" i="51"/>
  <c r="K39" i="51"/>
  <c r="R39" i="51" s="1"/>
  <c r="N38" i="51"/>
  <c r="M38" i="51"/>
  <c r="K38" i="51"/>
  <c r="R38" i="51" s="1"/>
  <c r="N37" i="51"/>
  <c r="M37" i="51"/>
  <c r="K37" i="51"/>
  <c r="R37" i="51" s="1"/>
  <c r="N36" i="51"/>
  <c r="M36" i="51"/>
  <c r="K36" i="51"/>
  <c r="R36" i="51" s="1"/>
  <c r="N35" i="51"/>
  <c r="M35" i="51"/>
  <c r="K35" i="51"/>
  <c r="R35" i="51" s="1"/>
  <c r="N34" i="51"/>
  <c r="M34" i="51"/>
  <c r="K34" i="51"/>
  <c r="R34" i="51" s="1"/>
  <c r="N33" i="51"/>
  <c r="M33" i="51"/>
  <c r="K33" i="51"/>
  <c r="N30" i="51"/>
  <c r="M30" i="51"/>
  <c r="K30" i="51"/>
  <c r="R30" i="51" s="1"/>
  <c r="N29" i="51"/>
  <c r="M29" i="51"/>
  <c r="K29" i="51"/>
  <c r="R29" i="51" s="1"/>
  <c r="N28" i="51"/>
  <c r="M28" i="51"/>
  <c r="K28" i="51"/>
  <c r="R28" i="51" s="1"/>
  <c r="N27" i="51"/>
  <c r="M27" i="51"/>
  <c r="K27" i="51"/>
  <c r="R27" i="51" s="1"/>
  <c r="N26" i="51"/>
  <c r="M26" i="51"/>
  <c r="K26" i="51"/>
  <c r="R26" i="51" s="1"/>
  <c r="N25" i="51"/>
  <c r="M25" i="51"/>
  <c r="K25" i="51"/>
  <c r="R25" i="51" s="1"/>
  <c r="N24" i="51"/>
  <c r="M24" i="51"/>
  <c r="K24" i="51"/>
  <c r="R24" i="51" s="1"/>
  <c r="N23" i="51"/>
  <c r="M23" i="51"/>
  <c r="K23" i="51"/>
  <c r="R23" i="51" s="1"/>
  <c r="N22" i="51"/>
  <c r="M22" i="51"/>
  <c r="K22" i="51"/>
  <c r="R22" i="51" s="1"/>
  <c r="N21" i="51"/>
  <c r="M21" i="51"/>
  <c r="K21" i="51"/>
  <c r="R21" i="51" s="1"/>
  <c r="N20" i="51"/>
  <c r="M20" i="51"/>
  <c r="K20" i="51"/>
  <c r="R20" i="51" s="1"/>
  <c r="N19" i="51"/>
  <c r="M19" i="51"/>
  <c r="K19" i="51"/>
  <c r="R19" i="51" s="1"/>
  <c r="N18" i="51"/>
  <c r="M18" i="51"/>
  <c r="K18" i="51"/>
  <c r="R18" i="51" s="1"/>
  <c r="N17" i="51"/>
  <c r="M17" i="51"/>
  <c r="K17" i="51"/>
  <c r="R17" i="51" s="1"/>
  <c r="N16" i="51"/>
  <c r="M16" i="51"/>
  <c r="K16" i="51"/>
  <c r="R16" i="51" s="1"/>
  <c r="N15" i="51"/>
  <c r="M15" i="51"/>
  <c r="K15" i="51"/>
  <c r="R15" i="51" s="1"/>
  <c r="N14" i="51"/>
  <c r="M14" i="51"/>
  <c r="K14" i="51"/>
  <c r="R14" i="51" s="1"/>
  <c r="N13" i="51"/>
  <c r="M13" i="51"/>
  <c r="K13" i="51"/>
  <c r="R13" i="51" s="1"/>
  <c r="N12" i="51"/>
  <c r="M12" i="51"/>
  <c r="K12" i="51"/>
  <c r="R12" i="51" s="1"/>
  <c r="N11" i="51"/>
  <c r="M11" i="51"/>
  <c r="K11" i="51"/>
  <c r="R11" i="51" s="1"/>
  <c r="N10" i="51"/>
  <c r="M10" i="51"/>
  <c r="K10" i="51"/>
  <c r="R10" i="51" s="1"/>
  <c r="N9" i="51"/>
  <c r="M9" i="51"/>
  <c r="K9" i="51"/>
  <c r="R9" i="51" s="1"/>
  <c r="N8" i="51"/>
  <c r="M8" i="51"/>
  <c r="K8" i="51"/>
  <c r="R8" i="51" s="1"/>
  <c r="N7" i="51"/>
  <c r="M7" i="51"/>
  <c r="K7" i="51"/>
  <c r="R7" i="51" s="1"/>
  <c r="N6" i="51"/>
  <c r="M6" i="51"/>
  <c r="K6" i="51"/>
  <c r="R6" i="51" s="1"/>
  <c r="N5" i="51"/>
  <c r="M5" i="51"/>
  <c r="K5" i="51"/>
  <c r="R5" i="51" s="1"/>
  <c r="N4" i="51"/>
  <c r="M4" i="51"/>
  <c r="K4" i="51"/>
  <c r="R4" i="51" s="1"/>
  <c r="N3" i="51"/>
  <c r="M3" i="51"/>
  <c r="K3" i="51"/>
  <c r="R3" i="51" s="1"/>
  <c r="N2" i="51"/>
  <c r="M2" i="51"/>
  <c r="K2" i="51"/>
  <c r="N61" i="50"/>
  <c r="M61" i="50"/>
  <c r="K61" i="50"/>
  <c r="R61" i="50" s="1"/>
  <c r="N60" i="50"/>
  <c r="M60" i="50"/>
  <c r="K60" i="50"/>
  <c r="R60" i="50" s="1"/>
  <c r="N59" i="50"/>
  <c r="M59" i="50"/>
  <c r="K59" i="50"/>
  <c r="R59" i="50" s="1"/>
  <c r="N58" i="50"/>
  <c r="M58" i="50"/>
  <c r="K58" i="50"/>
  <c r="R58" i="50" s="1"/>
  <c r="N57" i="50"/>
  <c r="M57" i="50"/>
  <c r="K57" i="50"/>
  <c r="R57" i="50" s="1"/>
  <c r="N56" i="50"/>
  <c r="M56" i="50"/>
  <c r="K56" i="50"/>
  <c r="R56" i="50" s="1"/>
  <c r="N55" i="50"/>
  <c r="M55" i="50"/>
  <c r="K55" i="50"/>
  <c r="R55" i="50" s="1"/>
  <c r="N54" i="50"/>
  <c r="M54" i="50"/>
  <c r="K54" i="50"/>
  <c r="R54" i="50" s="1"/>
  <c r="N53" i="50"/>
  <c r="M53" i="50"/>
  <c r="K53" i="50"/>
  <c r="R53" i="50" s="1"/>
  <c r="N52" i="50"/>
  <c r="M52" i="50"/>
  <c r="K52" i="50"/>
  <c r="R52" i="50" s="1"/>
  <c r="N51" i="50"/>
  <c r="M51" i="50"/>
  <c r="K51" i="50"/>
  <c r="R51" i="50" s="1"/>
  <c r="N50" i="50"/>
  <c r="M50" i="50"/>
  <c r="K50" i="50"/>
  <c r="R50" i="50" s="1"/>
  <c r="N49" i="50"/>
  <c r="M49" i="50"/>
  <c r="K49" i="50"/>
  <c r="R49" i="50" s="1"/>
  <c r="N48" i="50"/>
  <c r="M48" i="50"/>
  <c r="K48" i="50"/>
  <c r="R48" i="50" s="1"/>
  <c r="N47" i="50"/>
  <c r="M47" i="50"/>
  <c r="K47" i="50"/>
  <c r="R47" i="50" s="1"/>
  <c r="N46" i="50"/>
  <c r="M46" i="50"/>
  <c r="K46" i="50"/>
  <c r="R46" i="50" s="1"/>
  <c r="N45" i="50"/>
  <c r="M45" i="50"/>
  <c r="K45" i="50"/>
  <c r="R45" i="50" s="1"/>
  <c r="N44" i="50"/>
  <c r="M44" i="50"/>
  <c r="K44" i="50"/>
  <c r="R44" i="50" s="1"/>
  <c r="N43" i="50"/>
  <c r="M43" i="50"/>
  <c r="K43" i="50"/>
  <c r="R43" i="50" s="1"/>
  <c r="N42" i="50"/>
  <c r="M42" i="50"/>
  <c r="K42" i="50"/>
  <c r="R42" i="50" s="1"/>
  <c r="N41" i="50"/>
  <c r="M41" i="50"/>
  <c r="K41" i="50"/>
  <c r="R41" i="50" s="1"/>
  <c r="N40" i="50"/>
  <c r="M40" i="50"/>
  <c r="K40" i="50"/>
  <c r="R40" i="50" s="1"/>
  <c r="N39" i="50"/>
  <c r="M39" i="50"/>
  <c r="K39" i="50"/>
  <c r="R39" i="50" s="1"/>
  <c r="N38" i="50"/>
  <c r="M38" i="50"/>
  <c r="K38" i="50"/>
  <c r="R38" i="50" s="1"/>
  <c r="N37" i="50"/>
  <c r="M37" i="50"/>
  <c r="K37" i="50"/>
  <c r="R37" i="50" s="1"/>
  <c r="N36" i="50"/>
  <c r="M36" i="50"/>
  <c r="K36" i="50"/>
  <c r="R36" i="50" s="1"/>
  <c r="N35" i="50"/>
  <c r="M35" i="50"/>
  <c r="K35" i="50"/>
  <c r="R35" i="50" s="1"/>
  <c r="N34" i="50"/>
  <c r="M34" i="50"/>
  <c r="K34" i="50"/>
  <c r="R34" i="50" s="1"/>
  <c r="N33" i="50"/>
  <c r="M33" i="50"/>
  <c r="K33" i="50"/>
  <c r="N30" i="50"/>
  <c r="M30" i="50"/>
  <c r="K30" i="50"/>
  <c r="R30" i="50" s="1"/>
  <c r="N29" i="50"/>
  <c r="M29" i="50"/>
  <c r="K29" i="50"/>
  <c r="R29" i="50" s="1"/>
  <c r="N28" i="50"/>
  <c r="M28" i="50"/>
  <c r="K28" i="50"/>
  <c r="R28" i="50" s="1"/>
  <c r="N27" i="50"/>
  <c r="M27" i="50"/>
  <c r="K27" i="50"/>
  <c r="R27" i="50" s="1"/>
  <c r="N26" i="50"/>
  <c r="M26" i="50"/>
  <c r="K26" i="50"/>
  <c r="R26" i="50" s="1"/>
  <c r="N25" i="50"/>
  <c r="M25" i="50"/>
  <c r="K25" i="50"/>
  <c r="R25" i="50" s="1"/>
  <c r="N24" i="50"/>
  <c r="M24" i="50"/>
  <c r="K24" i="50"/>
  <c r="R24" i="50" s="1"/>
  <c r="N23" i="50"/>
  <c r="M23" i="50"/>
  <c r="K23" i="50"/>
  <c r="R23" i="50" s="1"/>
  <c r="N22" i="50"/>
  <c r="M22" i="50"/>
  <c r="K22" i="50"/>
  <c r="R22" i="50" s="1"/>
  <c r="N21" i="50"/>
  <c r="M21" i="50"/>
  <c r="K21" i="50"/>
  <c r="R21" i="50" s="1"/>
  <c r="N20" i="50"/>
  <c r="M20" i="50"/>
  <c r="K20" i="50"/>
  <c r="R20" i="50" s="1"/>
  <c r="N19" i="50"/>
  <c r="M19" i="50"/>
  <c r="K19" i="50"/>
  <c r="R19" i="50" s="1"/>
  <c r="N18" i="50"/>
  <c r="M18" i="50"/>
  <c r="K18" i="50"/>
  <c r="R18" i="50" s="1"/>
  <c r="N17" i="50"/>
  <c r="M17" i="50"/>
  <c r="K17" i="50"/>
  <c r="R17" i="50" s="1"/>
  <c r="N16" i="50"/>
  <c r="M16" i="50"/>
  <c r="K16" i="50"/>
  <c r="R16" i="50" s="1"/>
  <c r="N15" i="50"/>
  <c r="M15" i="50"/>
  <c r="K15" i="50"/>
  <c r="R15" i="50" s="1"/>
  <c r="N14" i="50"/>
  <c r="M14" i="50"/>
  <c r="K14" i="50"/>
  <c r="R14" i="50" s="1"/>
  <c r="N13" i="50"/>
  <c r="M13" i="50"/>
  <c r="K13" i="50"/>
  <c r="R13" i="50" s="1"/>
  <c r="N12" i="50"/>
  <c r="M12" i="50"/>
  <c r="K12" i="50"/>
  <c r="R12" i="50" s="1"/>
  <c r="N11" i="50"/>
  <c r="M11" i="50"/>
  <c r="K11" i="50"/>
  <c r="R11" i="50" s="1"/>
  <c r="N10" i="50"/>
  <c r="M10" i="50"/>
  <c r="K10" i="50"/>
  <c r="R10" i="50" s="1"/>
  <c r="N9" i="50"/>
  <c r="M9" i="50"/>
  <c r="K9" i="50"/>
  <c r="R9" i="50" s="1"/>
  <c r="N8" i="50"/>
  <c r="M8" i="50"/>
  <c r="K8" i="50"/>
  <c r="R8" i="50" s="1"/>
  <c r="N7" i="50"/>
  <c r="M7" i="50"/>
  <c r="K7" i="50"/>
  <c r="R7" i="50" s="1"/>
  <c r="N6" i="50"/>
  <c r="M6" i="50"/>
  <c r="K6" i="50"/>
  <c r="R6" i="50" s="1"/>
  <c r="N5" i="50"/>
  <c r="M5" i="50"/>
  <c r="K5" i="50"/>
  <c r="R5" i="50" s="1"/>
  <c r="N4" i="50"/>
  <c r="M4" i="50"/>
  <c r="K4" i="50"/>
  <c r="R4" i="50" s="1"/>
  <c r="N3" i="50"/>
  <c r="M3" i="50"/>
  <c r="K3" i="50"/>
  <c r="R3" i="50" s="1"/>
  <c r="N2" i="50"/>
  <c r="M2" i="50"/>
  <c r="K2" i="50"/>
  <c r="N61" i="49"/>
  <c r="M61" i="49"/>
  <c r="K61" i="49"/>
  <c r="R61" i="49" s="1"/>
  <c r="N60" i="49"/>
  <c r="M60" i="49"/>
  <c r="K60" i="49"/>
  <c r="R60" i="49" s="1"/>
  <c r="N59" i="49"/>
  <c r="M59" i="49"/>
  <c r="K59" i="49"/>
  <c r="R59" i="49" s="1"/>
  <c r="N58" i="49"/>
  <c r="M58" i="49"/>
  <c r="K58" i="49"/>
  <c r="R58" i="49" s="1"/>
  <c r="N57" i="49"/>
  <c r="M57" i="49"/>
  <c r="K57" i="49"/>
  <c r="R57" i="49" s="1"/>
  <c r="N56" i="49"/>
  <c r="M56" i="49"/>
  <c r="K56" i="49"/>
  <c r="R56" i="49" s="1"/>
  <c r="N55" i="49"/>
  <c r="M55" i="49"/>
  <c r="K55" i="49"/>
  <c r="R55" i="49" s="1"/>
  <c r="N54" i="49"/>
  <c r="M54" i="49"/>
  <c r="K54" i="49"/>
  <c r="R54" i="49" s="1"/>
  <c r="N53" i="49"/>
  <c r="M53" i="49"/>
  <c r="K53" i="49"/>
  <c r="R53" i="49" s="1"/>
  <c r="N52" i="49"/>
  <c r="M52" i="49"/>
  <c r="K52" i="49"/>
  <c r="R52" i="49" s="1"/>
  <c r="N51" i="49"/>
  <c r="M51" i="49"/>
  <c r="K51" i="49"/>
  <c r="R51" i="49" s="1"/>
  <c r="N50" i="49"/>
  <c r="M50" i="49"/>
  <c r="K50" i="49"/>
  <c r="R50" i="49" s="1"/>
  <c r="N49" i="49"/>
  <c r="M49" i="49"/>
  <c r="K49" i="49"/>
  <c r="R49" i="49" s="1"/>
  <c r="N48" i="49"/>
  <c r="M48" i="49"/>
  <c r="K48" i="49"/>
  <c r="R48" i="49" s="1"/>
  <c r="N47" i="49"/>
  <c r="M47" i="49"/>
  <c r="K47" i="49"/>
  <c r="R47" i="49" s="1"/>
  <c r="N46" i="49"/>
  <c r="M46" i="49"/>
  <c r="K46" i="49"/>
  <c r="R46" i="49" s="1"/>
  <c r="N45" i="49"/>
  <c r="M45" i="49"/>
  <c r="K45" i="49"/>
  <c r="R45" i="49" s="1"/>
  <c r="N44" i="49"/>
  <c r="M44" i="49"/>
  <c r="K44" i="49"/>
  <c r="R44" i="49" s="1"/>
  <c r="N43" i="49"/>
  <c r="M43" i="49"/>
  <c r="K43" i="49"/>
  <c r="R43" i="49" s="1"/>
  <c r="N42" i="49"/>
  <c r="M42" i="49"/>
  <c r="K42" i="49"/>
  <c r="R42" i="49" s="1"/>
  <c r="N41" i="49"/>
  <c r="M41" i="49"/>
  <c r="K41" i="49"/>
  <c r="R41" i="49" s="1"/>
  <c r="N40" i="49"/>
  <c r="M40" i="49"/>
  <c r="K40" i="49"/>
  <c r="R40" i="49" s="1"/>
  <c r="N39" i="49"/>
  <c r="M39" i="49"/>
  <c r="K39" i="49"/>
  <c r="R39" i="49" s="1"/>
  <c r="N38" i="49"/>
  <c r="M38" i="49"/>
  <c r="K38" i="49"/>
  <c r="R38" i="49" s="1"/>
  <c r="N37" i="49"/>
  <c r="M37" i="49"/>
  <c r="K37" i="49"/>
  <c r="R37" i="49" s="1"/>
  <c r="N36" i="49"/>
  <c r="M36" i="49"/>
  <c r="K36" i="49"/>
  <c r="R36" i="49" s="1"/>
  <c r="N35" i="49"/>
  <c r="M35" i="49"/>
  <c r="K35" i="49"/>
  <c r="R35" i="49" s="1"/>
  <c r="N34" i="49"/>
  <c r="M34" i="49"/>
  <c r="K34" i="49"/>
  <c r="R34" i="49" s="1"/>
  <c r="N33" i="49"/>
  <c r="M33" i="49"/>
  <c r="K33" i="49"/>
  <c r="N30" i="49"/>
  <c r="M30" i="49"/>
  <c r="K30" i="49"/>
  <c r="R30" i="49" s="1"/>
  <c r="N29" i="49"/>
  <c r="M29" i="49"/>
  <c r="K29" i="49"/>
  <c r="R29" i="49" s="1"/>
  <c r="N28" i="49"/>
  <c r="M28" i="49"/>
  <c r="K28" i="49"/>
  <c r="R28" i="49" s="1"/>
  <c r="N27" i="49"/>
  <c r="M27" i="49"/>
  <c r="K27" i="49"/>
  <c r="R27" i="49" s="1"/>
  <c r="N26" i="49"/>
  <c r="M26" i="49"/>
  <c r="K26" i="49"/>
  <c r="R26" i="49" s="1"/>
  <c r="N25" i="49"/>
  <c r="M25" i="49"/>
  <c r="K25" i="49"/>
  <c r="R25" i="49" s="1"/>
  <c r="N24" i="49"/>
  <c r="M24" i="49"/>
  <c r="K24" i="49"/>
  <c r="R24" i="49" s="1"/>
  <c r="N23" i="49"/>
  <c r="M23" i="49"/>
  <c r="K23" i="49"/>
  <c r="R23" i="49" s="1"/>
  <c r="N22" i="49"/>
  <c r="M22" i="49"/>
  <c r="K22" i="49"/>
  <c r="R22" i="49" s="1"/>
  <c r="N21" i="49"/>
  <c r="M21" i="49"/>
  <c r="K21" i="49"/>
  <c r="R21" i="49" s="1"/>
  <c r="N20" i="49"/>
  <c r="M20" i="49"/>
  <c r="K20" i="49"/>
  <c r="R20" i="49" s="1"/>
  <c r="N19" i="49"/>
  <c r="M19" i="49"/>
  <c r="K19" i="49"/>
  <c r="R19" i="49" s="1"/>
  <c r="N18" i="49"/>
  <c r="M18" i="49"/>
  <c r="K18" i="49"/>
  <c r="R18" i="49" s="1"/>
  <c r="N17" i="49"/>
  <c r="M17" i="49"/>
  <c r="K17" i="49"/>
  <c r="R17" i="49" s="1"/>
  <c r="N16" i="49"/>
  <c r="M16" i="49"/>
  <c r="K16" i="49"/>
  <c r="R16" i="49" s="1"/>
  <c r="N15" i="49"/>
  <c r="M15" i="49"/>
  <c r="K15" i="49"/>
  <c r="R15" i="49" s="1"/>
  <c r="N14" i="49"/>
  <c r="M14" i="49"/>
  <c r="K14" i="49"/>
  <c r="R14" i="49" s="1"/>
  <c r="N13" i="49"/>
  <c r="M13" i="49"/>
  <c r="K13" i="49"/>
  <c r="R13" i="49" s="1"/>
  <c r="N12" i="49"/>
  <c r="M12" i="49"/>
  <c r="K12" i="49"/>
  <c r="R12" i="49" s="1"/>
  <c r="N11" i="49"/>
  <c r="M11" i="49"/>
  <c r="K11" i="49"/>
  <c r="R11" i="49" s="1"/>
  <c r="N10" i="49"/>
  <c r="M10" i="49"/>
  <c r="K10" i="49"/>
  <c r="R10" i="49" s="1"/>
  <c r="N9" i="49"/>
  <c r="M9" i="49"/>
  <c r="K9" i="49"/>
  <c r="R9" i="49" s="1"/>
  <c r="N8" i="49"/>
  <c r="M8" i="49"/>
  <c r="K8" i="49"/>
  <c r="R8" i="49" s="1"/>
  <c r="N7" i="49"/>
  <c r="M7" i="49"/>
  <c r="K7" i="49"/>
  <c r="R7" i="49" s="1"/>
  <c r="N6" i="49"/>
  <c r="M6" i="49"/>
  <c r="K6" i="49"/>
  <c r="R6" i="49" s="1"/>
  <c r="N5" i="49"/>
  <c r="M5" i="49"/>
  <c r="K5" i="49"/>
  <c r="R5" i="49" s="1"/>
  <c r="N4" i="49"/>
  <c r="M4" i="49"/>
  <c r="K4" i="49"/>
  <c r="R4" i="49" s="1"/>
  <c r="N3" i="49"/>
  <c r="M3" i="49"/>
  <c r="K3" i="49"/>
  <c r="R3" i="49" s="1"/>
  <c r="N2" i="49"/>
  <c r="M2" i="49"/>
  <c r="K2" i="49"/>
  <c r="N61" i="48"/>
  <c r="M61" i="48"/>
  <c r="K61" i="48"/>
  <c r="R61" i="48" s="1"/>
  <c r="N60" i="48"/>
  <c r="M60" i="48"/>
  <c r="K60" i="48"/>
  <c r="R60" i="48" s="1"/>
  <c r="N59" i="48"/>
  <c r="M59" i="48"/>
  <c r="K59" i="48"/>
  <c r="R59" i="48" s="1"/>
  <c r="N58" i="48"/>
  <c r="M58" i="48"/>
  <c r="K58" i="48"/>
  <c r="R58" i="48" s="1"/>
  <c r="N57" i="48"/>
  <c r="M57" i="48"/>
  <c r="K57" i="48"/>
  <c r="R57" i="48" s="1"/>
  <c r="N56" i="48"/>
  <c r="M56" i="48"/>
  <c r="K56" i="48"/>
  <c r="R56" i="48" s="1"/>
  <c r="N55" i="48"/>
  <c r="M55" i="48"/>
  <c r="K55" i="48"/>
  <c r="R55" i="48" s="1"/>
  <c r="N54" i="48"/>
  <c r="M54" i="48"/>
  <c r="K54" i="48"/>
  <c r="R54" i="48" s="1"/>
  <c r="N53" i="48"/>
  <c r="M53" i="48"/>
  <c r="K53" i="48"/>
  <c r="R53" i="48" s="1"/>
  <c r="N52" i="48"/>
  <c r="M52" i="48"/>
  <c r="K52" i="48"/>
  <c r="R52" i="48" s="1"/>
  <c r="N51" i="48"/>
  <c r="M51" i="48"/>
  <c r="K51" i="48"/>
  <c r="R51" i="48" s="1"/>
  <c r="N50" i="48"/>
  <c r="M50" i="48"/>
  <c r="K50" i="48"/>
  <c r="R50" i="48" s="1"/>
  <c r="N49" i="48"/>
  <c r="M49" i="48"/>
  <c r="K49" i="48"/>
  <c r="R49" i="48" s="1"/>
  <c r="N48" i="48"/>
  <c r="M48" i="48"/>
  <c r="K48" i="48"/>
  <c r="R48" i="48" s="1"/>
  <c r="N47" i="48"/>
  <c r="M47" i="48"/>
  <c r="K47" i="48"/>
  <c r="R47" i="48" s="1"/>
  <c r="N46" i="48"/>
  <c r="M46" i="48"/>
  <c r="K46" i="48"/>
  <c r="R46" i="48" s="1"/>
  <c r="N45" i="48"/>
  <c r="M45" i="48"/>
  <c r="K45" i="48"/>
  <c r="R45" i="48" s="1"/>
  <c r="N44" i="48"/>
  <c r="M44" i="48"/>
  <c r="K44" i="48"/>
  <c r="R44" i="48" s="1"/>
  <c r="N43" i="48"/>
  <c r="M43" i="48"/>
  <c r="K43" i="48"/>
  <c r="R43" i="48" s="1"/>
  <c r="N42" i="48"/>
  <c r="M42" i="48"/>
  <c r="K42" i="48"/>
  <c r="R42" i="48" s="1"/>
  <c r="N41" i="48"/>
  <c r="M41" i="48"/>
  <c r="K41" i="48"/>
  <c r="R41" i="48" s="1"/>
  <c r="N40" i="48"/>
  <c r="M40" i="48"/>
  <c r="K40" i="48"/>
  <c r="R40" i="48" s="1"/>
  <c r="N39" i="48"/>
  <c r="M39" i="48"/>
  <c r="K39" i="48"/>
  <c r="R39" i="48" s="1"/>
  <c r="N38" i="48"/>
  <c r="M38" i="48"/>
  <c r="K38" i="48"/>
  <c r="R38" i="48" s="1"/>
  <c r="N37" i="48"/>
  <c r="M37" i="48"/>
  <c r="K37" i="48"/>
  <c r="R37" i="48" s="1"/>
  <c r="N36" i="48"/>
  <c r="M36" i="48"/>
  <c r="K36" i="48"/>
  <c r="R36" i="48" s="1"/>
  <c r="N35" i="48"/>
  <c r="M35" i="48"/>
  <c r="K35" i="48"/>
  <c r="R35" i="48" s="1"/>
  <c r="N34" i="48"/>
  <c r="M34" i="48"/>
  <c r="K34" i="48"/>
  <c r="R34" i="48" s="1"/>
  <c r="N33" i="48"/>
  <c r="M33" i="48"/>
  <c r="K33" i="48"/>
  <c r="N30" i="48"/>
  <c r="M30" i="48"/>
  <c r="K30" i="48"/>
  <c r="R30" i="48" s="1"/>
  <c r="N29" i="48"/>
  <c r="M29" i="48"/>
  <c r="K29" i="48"/>
  <c r="R29" i="48" s="1"/>
  <c r="N28" i="48"/>
  <c r="M28" i="48"/>
  <c r="K28" i="48"/>
  <c r="R28" i="48" s="1"/>
  <c r="N27" i="48"/>
  <c r="M27" i="48"/>
  <c r="K27" i="48"/>
  <c r="R27" i="48" s="1"/>
  <c r="N26" i="48"/>
  <c r="M26" i="48"/>
  <c r="K26" i="48"/>
  <c r="R26" i="48" s="1"/>
  <c r="N25" i="48"/>
  <c r="M25" i="48"/>
  <c r="K25" i="48"/>
  <c r="R25" i="48" s="1"/>
  <c r="N24" i="48"/>
  <c r="M24" i="48"/>
  <c r="K24" i="48"/>
  <c r="R24" i="48" s="1"/>
  <c r="N23" i="48"/>
  <c r="M23" i="48"/>
  <c r="K23" i="48"/>
  <c r="R23" i="48" s="1"/>
  <c r="N22" i="48"/>
  <c r="M22" i="48"/>
  <c r="K22" i="48"/>
  <c r="R22" i="48" s="1"/>
  <c r="N21" i="48"/>
  <c r="M21" i="48"/>
  <c r="K21" i="48"/>
  <c r="R21" i="48" s="1"/>
  <c r="N20" i="48"/>
  <c r="M20" i="48"/>
  <c r="K20" i="48"/>
  <c r="R20" i="48" s="1"/>
  <c r="N19" i="48"/>
  <c r="M19" i="48"/>
  <c r="K19" i="48"/>
  <c r="R19" i="48" s="1"/>
  <c r="N18" i="48"/>
  <c r="M18" i="48"/>
  <c r="K18" i="48"/>
  <c r="R18" i="48" s="1"/>
  <c r="N17" i="48"/>
  <c r="M17" i="48"/>
  <c r="K17" i="48"/>
  <c r="R17" i="48" s="1"/>
  <c r="N16" i="48"/>
  <c r="M16" i="48"/>
  <c r="K16" i="48"/>
  <c r="R16" i="48" s="1"/>
  <c r="N15" i="48"/>
  <c r="M15" i="48"/>
  <c r="K15" i="48"/>
  <c r="R15" i="48" s="1"/>
  <c r="N14" i="48"/>
  <c r="M14" i="48"/>
  <c r="K14" i="48"/>
  <c r="R14" i="48" s="1"/>
  <c r="N13" i="48"/>
  <c r="M13" i="48"/>
  <c r="K13" i="48"/>
  <c r="R13" i="48" s="1"/>
  <c r="N12" i="48"/>
  <c r="M12" i="48"/>
  <c r="K12" i="48"/>
  <c r="R12" i="48" s="1"/>
  <c r="N11" i="48"/>
  <c r="M11" i="48"/>
  <c r="K11" i="48"/>
  <c r="R11" i="48" s="1"/>
  <c r="N10" i="48"/>
  <c r="M10" i="48"/>
  <c r="K10" i="48"/>
  <c r="R10" i="48" s="1"/>
  <c r="N9" i="48"/>
  <c r="M9" i="48"/>
  <c r="K9" i="48"/>
  <c r="R9" i="48" s="1"/>
  <c r="N8" i="48"/>
  <c r="M8" i="48"/>
  <c r="K8" i="48"/>
  <c r="R8" i="48" s="1"/>
  <c r="N7" i="48"/>
  <c r="M7" i="48"/>
  <c r="K7" i="48"/>
  <c r="R7" i="48" s="1"/>
  <c r="N6" i="48"/>
  <c r="M6" i="48"/>
  <c r="K6" i="48"/>
  <c r="R6" i="48" s="1"/>
  <c r="N5" i="48"/>
  <c r="M5" i="48"/>
  <c r="K5" i="48"/>
  <c r="R5" i="48" s="1"/>
  <c r="N4" i="48"/>
  <c r="M4" i="48"/>
  <c r="K4" i="48"/>
  <c r="R4" i="48" s="1"/>
  <c r="N3" i="48"/>
  <c r="M3" i="48"/>
  <c r="K3" i="48"/>
  <c r="R3" i="48" s="1"/>
  <c r="N2" i="48"/>
  <c r="M2" i="48"/>
  <c r="K2" i="48"/>
  <c r="N61" i="47"/>
  <c r="M61" i="47"/>
  <c r="K61" i="47"/>
  <c r="R61" i="47" s="1"/>
  <c r="N60" i="47"/>
  <c r="M60" i="47"/>
  <c r="K60" i="47"/>
  <c r="R60" i="47" s="1"/>
  <c r="N59" i="47"/>
  <c r="M59" i="47"/>
  <c r="K59" i="47"/>
  <c r="R59" i="47" s="1"/>
  <c r="N58" i="47"/>
  <c r="M58" i="47"/>
  <c r="K58" i="47"/>
  <c r="R58" i="47" s="1"/>
  <c r="N57" i="47"/>
  <c r="M57" i="47"/>
  <c r="K57" i="47"/>
  <c r="R57" i="47" s="1"/>
  <c r="N56" i="47"/>
  <c r="M56" i="47"/>
  <c r="K56" i="47"/>
  <c r="R56" i="47" s="1"/>
  <c r="N55" i="47"/>
  <c r="M55" i="47"/>
  <c r="K55" i="47"/>
  <c r="R55" i="47" s="1"/>
  <c r="N54" i="47"/>
  <c r="M54" i="47"/>
  <c r="K54" i="47"/>
  <c r="R54" i="47" s="1"/>
  <c r="N53" i="47"/>
  <c r="M53" i="47"/>
  <c r="K53" i="47"/>
  <c r="R53" i="47" s="1"/>
  <c r="N52" i="47"/>
  <c r="M52" i="47"/>
  <c r="K52" i="47"/>
  <c r="R52" i="47" s="1"/>
  <c r="N51" i="47"/>
  <c r="M51" i="47"/>
  <c r="K51" i="47"/>
  <c r="R51" i="47" s="1"/>
  <c r="N50" i="47"/>
  <c r="M50" i="47"/>
  <c r="K50" i="47"/>
  <c r="R50" i="47" s="1"/>
  <c r="N49" i="47"/>
  <c r="M49" i="47"/>
  <c r="K49" i="47"/>
  <c r="R49" i="47" s="1"/>
  <c r="N48" i="47"/>
  <c r="M48" i="47"/>
  <c r="K48" i="47"/>
  <c r="R48" i="47" s="1"/>
  <c r="N47" i="47"/>
  <c r="M47" i="47"/>
  <c r="K47" i="47"/>
  <c r="R47" i="47" s="1"/>
  <c r="N46" i="47"/>
  <c r="M46" i="47"/>
  <c r="K46" i="47"/>
  <c r="R46" i="47" s="1"/>
  <c r="N45" i="47"/>
  <c r="M45" i="47"/>
  <c r="K45" i="47"/>
  <c r="R45" i="47" s="1"/>
  <c r="N44" i="47"/>
  <c r="M44" i="47"/>
  <c r="K44" i="47"/>
  <c r="R44" i="47" s="1"/>
  <c r="N43" i="47"/>
  <c r="M43" i="47"/>
  <c r="K43" i="47"/>
  <c r="R43" i="47" s="1"/>
  <c r="N42" i="47"/>
  <c r="M42" i="47"/>
  <c r="K42" i="47"/>
  <c r="R42" i="47" s="1"/>
  <c r="N41" i="47"/>
  <c r="M41" i="47"/>
  <c r="K41" i="47"/>
  <c r="R41" i="47" s="1"/>
  <c r="N40" i="47"/>
  <c r="M40" i="47"/>
  <c r="K40" i="47"/>
  <c r="R40" i="47" s="1"/>
  <c r="N39" i="47"/>
  <c r="M39" i="47"/>
  <c r="K39" i="47"/>
  <c r="R39" i="47" s="1"/>
  <c r="N38" i="47"/>
  <c r="M38" i="47"/>
  <c r="K38" i="47"/>
  <c r="R38" i="47" s="1"/>
  <c r="N37" i="47"/>
  <c r="M37" i="47"/>
  <c r="K37" i="47"/>
  <c r="R37" i="47" s="1"/>
  <c r="N36" i="47"/>
  <c r="M36" i="47"/>
  <c r="K36" i="47"/>
  <c r="R36" i="47" s="1"/>
  <c r="N35" i="47"/>
  <c r="M35" i="47"/>
  <c r="K35" i="47"/>
  <c r="R35" i="47" s="1"/>
  <c r="N34" i="47"/>
  <c r="M34" i="47"/>
  <c r="K34" i="47"/>
  <c r="R34" i="47" s="1"/>
  <c r="N33" i="47"/>
  <c r="M33" i="47"/>
  <c r="K33" i="47"/>
  <c r="N30" i="47"/>
  <c r="M30" i="47"/>
  <c r="K30" i="47"/>
  <c r="R30" i="47" s="1"/>
  <c r="N29" i="47"/>
  <c r="M29" i="47"/>
  <c r="K29" i="47"/>
  <c r="R29" i="47" s="1"/>
  <c r="N28" i="47"/>
  <c r="M28" i="47"/>
  <c r="K28" i="47"/>
  <c r="R28" i="47" s="1"/>
  <c r="N27" i="47"/>
  <c r="M27" i="47"/>
  <c r="K27" i="47"/>
  <c r="R27" i="47" s="1"/>
  <c r="N26" i="47"/>
  <c r="M26" i="47"/>
  <c r="K26" i="47"/>
  <c r="R26" i="47" s="1"/>
  <c r="N25" i="47"/>
  <c r="M25" i="47"/>
  <c r="K25" i="47"/>
  <c r="R25" i="47" s="1"/>
  <c r="N24" i="47"/>
  <c r="M24" i="47"/>
  <c r="K24" i="47"/>
  <c r="R24" i="47" s="1"/>
  <c r="N23" i="47"/>
  <c r="M23" i="47"/>
  <c r="K23" i="47"/>
  <c r="R23" i="47" s="1"/>
  <c r="N22" i="47"/>
  <c r="M22" i="47"/>
  <c r="K22" i="47"/>
  <c r="R22" i="47" s="1"/>
  <c r="N21" i="47"/>
  <c r="M21" i="47"/>
  <c r="K21" i="47"/>
  <c r="R21" i="47" s="1"/>
  <c r="N20" i="47"/>
  <c r="M20" i="47"/>
  <c r="K20" i="47"/>
  <c r="R20" i="47" s="1"/>
  <c r="N19" i="47"/>
  <c r="M19" i="47"/>
  <c r="K19" i="47"/>
  <c r="R19" i="47" s="1"/>
  <c r="N18" i="47"/>
  <c r="M18" i="47"/>
  <c r="K18" i="47"/>
  <c r="R18" i="47" s="1"/>
  <c r="N17" i="47"/>
  <c r="M17" i="47"/>
  <c r="K17" i="47"/>
  <c r="R17" i="47" s="1"/>
  <c r="N16" i="47"/>
  <c r="M16" i="47"/>
  <c r="K16" i="47"/>
  <c r="R16" i="47" s="1"/>
  <c r="N15" i="47"/>
  <c r="M15" i="47"/>
  <c r="K15" i="47"/>
  <c r="R15" i="47" s="1"/>
  <c r="N14" i="47"/>
  <c r="M14" i="47"/>
  <c r="K14" i="47"/>
  <c r="R14" i="47" s="1"/>
  <c r="N13" i="47"/>
  <c r="M13" i="47"/>
  <c r="K13" i="47"/>
  <c r="R13" i="47" s="1"/>
  <c r="N12" i="47"/>
  <c r="M12" i="47"/>
  <c r="K12" i="47"/>
  <c r="R12" i="47" s="1"/>
  <c r="N11" i="47"/>
  <c r="M11" i="47"/>
  <c r="K11" i="47"/>
  <c r="R11" i="47" s="1"/>
  <c r="N10" i="47"/>
  <c r="M10" i="47"/>
  <c r="K10" i="47"/>
  <c r="R10" i="47" s="1"/>
  <c r="N9" i="47"/>
  <c r="M9" i="47"/>
  <c r="K9" i="47"/>
  <c r="R9" i="47" s="1"/>
  <c r="N8" i="47"/>
  <c r="M8" i="47"/>
  <c r="K8" i="47"/>
  <c r="R8" i="47" s="1"/>
  <c r="N7" i="47"/>
  <c r="M7" i="47"/>
  <c r="K7" i="47"/>
  <c r="R7" i="47" s="1"/>
  <c r="N6" i="47"/>
  <c r="M6" i="47"/>
  <c r="K6" i="47"/>
  <c r="R6" i="47" s="1"/>
  <c r="N5" i="47"/>
  <c r="M5" i="47"/>
  <c r="K5" i="47"/>
  <c r="R5" i="47" s="1"/>
  <c r="N4" i="47"/>
  <c r="M4" i="47"/>
  <c r="K4" i="47"/>
  <c r="R4" i="47" s="1"/>
  <c r="N3" i="47"/>
  <c r="M3" i="47"/>
  <c r="K3" i="47"/>
  <c r="R3" i="47" s="1"/>
  <c r="N2" i="47"/>
  <c r="M2" i="47"/>
  <c r="K2" i="47"/>
  <c r="R2" i="47" s="1"/>
  <c r="N61" i="38"/>
  <c r="M61" i="38"/>
  <c r="K61" i="38"/>
  <c r="N60" i="38"/>
  <c r="M60" i="38"/>
  <c r="K60" i="38"/>
  <c r="N59" i="38"/>
  <c r="M59" i="38"/>
  <c r="K59" i="38"/>
  <c r="N58" i="38"/>
  <c r="M58" i="38"/>
  <c r="K58" i="38"/>
  <c r="N57" i="38"/>
  <c r="M57" i="38"/>
  <c r="K57" i="38"/>
  <c r="N56" i="38"/>
  <c r="M56" i="38"/>
  <c r="K56" i="38"/>
  <c r="N55" i="38"/>
  <c r="M55" i="38"/>
  <c r="K55" i="38"/>
  <c r="N54" i="38"/>
  <c r="M54" i="38"/>
  <c r="K54" i="38"/>
  <c r="N53" i="38"/>
  <c r="M53" i="38"/>
  <c r="K53" i="38"/>
  <c r="N52" i="38"/>
  <c r="M52" i="38"/>
  <c r="K52" i="38"/>
  <c r="N51" i="38"/>
  <c r="M51" i="38"/>
  <c r="K51" i="38"/>
  <c r="N50" i="38"/>
  <c r="M50" i="38"/>
  <c r="K50" i="38"/>
  <c r="N49" i="38"/>
  <c r="M49" i="38"/>
  <c r="K49" i="38"/>
  <c r="N48" i="38"/>
  <c r="M48" i="38"/>
  <c r="K48" i="38"/>
  <c r="N47" i="38"/>
  <c r="M47" i="38"/>
  <c r="K47" i="38"/>
  <c r="N46" i="38"/>
  <c r="M46" i="38"/>
  <c r="K46" i="38"/>
  <c r="N45" i="38"/>
  <c r="M45" i="38"/>
  <c r="K45" i="38"/>
  <c r="N44" i="38"/>
  <c r="M44" i="38"/>
  <c r="K44" i="38"/>
  <c r="N43" i="38"/>
  <c r="M43" i="38"/>
  <c r="K43" i="38"/>
  <c r="N42" i="38"/>
  <c r="M42" i="38"/>
  <c r="K42" i="38"/>
  <c r="N41" i="38"/>
  <c r="M41" i="38"/>
  <c r="K41" i="38"/>
  <c r="N40" i="38"/>
  <c r="M40" i="38"/>
  <c r="K40" i="38"/>
  <c r="N39" i="38"/>
  <c r="M39" i="38"/>
  <c r="K39" i="38"/>
  <c r="N38" i="38"/>
  <c r="M38" i="38"/>
  <c r="K38" i="38"/>
  <c r="N37" i="38"/>
  <c r="M37" i="38"/>
  <c r="K37" i="38"/>
  <c r="N36" i="38"/>
  <c r="M36" i="38"/>
  <c r="K36" i="38"/>
  <c r="N35" i="38"/>
  <c r="M35" i="38"/>
  <c r="K35" i="38"/>
  <c r="N34" i="38"/>
  <c r="M34" i="38"/>
  <c r="K34" i="38"/>
  <c r="N33" i="38"/>
  <c r="M33" i="38"/>
  <c r="K33" i="38"/>
  <c r="N30" i="38"/>
  <c r="M30" i="38"/>
  <c r="K30" i="38"/>
  <c r="N29" i="38"/>
  <c r="M29" i="38"/>
  <c r="K29" i="38"/>
  <c r="N28" i="38"/>
  <c r="M28" i="38"/>
  <c r="K28" i="38"/>
  <c r="N27" i="38"/>
  <c r="M27" i="38"/>
  <c r="K27" i="38"/>
  <c r="N26" i="38"/>
  <c r="M26" i="38"/>
  <c r="K26" i="38"/>
  <c r="N25" i="38"/>
  <c r="M25" i="38"/>
  <c r="K25" i="38"/>
  <c r="N24" i="38"/>
  <c r="M24" i="38"/>
  <c r="K24" i="38"/>
  <c r="N23" i="38"/>
  <c r="M23" i="38"/>
  <c r="K23" i="38"/>
  <c r="N22" i="38"/>
  <c r="M22" i="38"/>
  <c r="K22" i="38"/>
  <c r="N21" i="38"/>
  <c r="M21" i="38"/>
  <c r="K21" i="38"/>
  <c r="N20" i="38"/>
  <c r="M20" i="38"/>
  <c r="K20" i="38"/>
  <c r="N19" i="38"/>
  <c r="M19" i="38"/>
  <c r="K19" i="38"/>
  <c r="N18" i="38"/>
  <c r="M18" i="38"/>
  <c r="K18" i="38"/>
  <c r="N17" i="38"/>
  <c r="M17" i="38"/>
  <c r="K17" i="38"/>
  <c r="N16" i="38"/>
  <c r="M16" i="38"/>
  <c r="K16" i="38"/>
  <c r="N15" i="38"/>
  <c r="M15" i="38"/>
  <c r="K15" i="38"/>
  <c r="N14" i="38"/>
  <c r="M14" i="38"/>
  <c r="K14" i="38"/>
  <c r="N13" i="38"/>
  <c r="M13" i="38"/>
  <c r="K13" i="38"/>
  <c r="N12" i="38"/>
  <c r="M12" i="38"/>
  <c r="K12" i="38"/>
  <c r="N11" i="38"/>
  <c r="M11" i="38"/>
  <c r="K11" i="38"/>
  <c r="N10" i="38"/>
  <c r="M10" i="38"/>
  <c r="K10" i="38"/>
  <c r="N9" i="38"/>
  <c r="M9" i="38"/>
  <c r="K9" i="38"/>
  <c r="N8" i="38"/>
  <c r="M8" i="38"/>
  <c r="K8" i="38"/>
  <c r="N7" i="38"/>
  <c r="M7" i="38"/>
  <c r="K7" i="38"/>
  <c r="N6" i="38"/>
  <c r="M6" i="38"/>
  <c r="K6" i="38"/>
  <c r="N5" i="38"/>
  <c r="M5" i="38"/>
  <c r="K5" i="38"/>
  <c r="N4" i="38"/>
  <c r="M4" i="38"/>
  <c r="K4" i="38"/>
  <c r="N3" i="38"/>
  <c r="M3" i="38"/>
  <c r="K3" i="38"/>
  <c r="N2" i="38"/>
  <c r="M2" i="38"/>
  <c r="K2" i="38"/>
  <c r="R2" i="49" l="1"/>
  <c r="R2" i="53"/>
  <c r="R33" i="48"/>
  <c r="R33" i="50"/>
  <c r="R33" i="52"/>
  <c r="R33" i="54"/>
  <c r="R2" i="48"/>
  <c r="R2" i="50"/>
  <c r="R2" i="52"/>
  <c r="R2" i="54"/>
  <c r="R33" i="47"/>
  <c r="R33" i="49"/>
  <c r="R33" i="51"/>
  <c r="R33" i="53"/>
  <c r="R2" i="51"/>
  <c r="E61" i="33"/>
  <c r="E60" i="33"/>
  <c r="E59" i="33"/>
  <c r="E58" i="33"/>
  <c r="E57" i="33"/>
  <c r="E56" i="33"/>
  <c r="E55" i="33"/>
  <c r="E54" i="33"/>
  <c r="E53" i="33"/>
  <c r="E52" i="33"/>
  <c r="E51" i="33"/>
  <c r="E50" i="33"/>
  <c r="E49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E5" i="33"/>
  <c r="E4" i="33"/>
  <c r="E3" i="33"/>
  <c r="E2" i="33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E3" i="32"/>
  <c r="E2" i="32"/>
  <c r="C24" i="25" l="1"/>
  <c r="C24" i="1"/>
  <c r="B29" i="25" l="1"/>
  <c r="B29" i="1"/>
  <c r="E29" i="1" s="1"/>
  <c r="B29" i="6"/>
  <c r="E29" i="6" s="1"/>
  <c r="C56" i="25" l="1"/>
  <c r="C56" i="1"/>
  <c r="C23" i="1" l="1"/>
  <c r="C23" i="7"/>
  <c r="E23" i="7" s="1"/>
  <c r="C23" i="6"/>
  <c r="E23" i="6" s="1"/>
  <c r="B61" i="25" l="1"/>
  <c r="B61" i="1"/>
  <c r="E61" i="1" s="1"/>
  <c r="C27" i="1" l="1"/>
  <c r="C57" i="25"/>
  <c r="C57" i="1"/>
  <c r="C27" i="7"/>
  <c r="C27" i="6"/>
  <c r="E27" i="6" s="1"/>
  <c r="C57" i="6"/>
  <c r="C28" i="1" l="1"/>
  <c r="C28" i="6"/>
  <c r="B24" i="1" l="1"/>
  <c r="E24" i="1" s="1"/>
  <c r="B24" i="6"/>
  <c r="E24" i="6" s="1"/>
  <c r="C53" i="25" l="1"/>
  <c r="C53" i="1"/>
  <c r="B56" i="25" l="1"/>
  <c r="B56" i="1"/>
  <c r="E56" i="1" s="1"/>
  <c r="C60" i="25" l="1"/>
  <c r="C60" i="1"/>
  <c r="B23" i="25" l="1"/>
  <c r="B23" i="1"/>
  <c r="E23" i="1" s="1"/>
  <c r="C30" i="25" l="1"/>
  <c r="C30" i="1"/>
  <c r="E30" i="1" s="1"/>
  <c r="C30" i="7"/>
  <c r="C30" i="6"/>
  <c r="E30" i="6" s="1"/>
  <c r="B27" i="25" l="1"/>
  <c r="B27" i="1"/>
  <c r="B27" i="7"/>
  <c r="E27" i="7" s="1"/>
  <c r="B57" i="6"/>
  <c r="E57" i="6" s="1"/>
  <c r="B28" i="25" l="1"/>
  <c r="B28" i="1"/>
  <c r="E28" i="1" s="1"/>
  <c r="B28" i="7"/>
  <c r="E28" i="7" s="1"/>
  <c r="B28" i="6"/>
  <c r="E28" i="6" s="1"/>
  <c r="B53" i="25" l="1"/>
  <c r="B53" i="1"/>
  <c r="E53" i="1" s="1"/>
  <c r="C59" i="25" l="1"/>
  <c r="C59" i="1"/>
  <c r="E59" i="1" s="1"/>
  <c r="C59" i="6"/>
  <c r="E59" i="6" s="1"/>
  <c r="C58" i="25" l="1"/>
  <c r="C58" i="1"/>
  <c r="C58" i="7"/>
  <c r="C58" i="6"/>
  <c r="C26" i="25"/>
  <c r="C26" i="6"/>
  <c r="C55" i="25" l="1"/>
  <c r="C55" i="1"/>
  <c r="C55" i="7"/>
  <c r="E55" i="7" s="1"/>
  <c r="C55" i="6"/>
  <c r="B60" i="25" l="1"/>
  <c r="B60" i="1"/>
  <c r="E60" i="1" s="1"/>
  <c r="B60" i="7"/>
  <c r="E60" i="7" s="1"/>
  <c r="B60" i="6"/>
  <c r="E60" i="6" s="1"/>
  <c r="C25" i="25" l="1"/>
  <c r="C25" i="1"/>
  <c r="E25" i="1" s="1"/>
  <c r="C25" i="7"/>
  <c r="B30" i="7" l="1"/>
  <c r="E30" i="7" s="1"/>
  <c r="B59" i="7" l="1"/>
  <c r="E59" i="7" s="1"/>
  <c r="B58" i="25"/>
  <c r="B58" i="1"/>
  <c r="B58" i="7"/>
  <c r="E58" i="7" s="1"/>
  <c r="B58" i="6"/>
  <c r="E58" i="6" s="1"/>
  <c r="E58" i="13"/>
  <c r="E59" i="13"/>
  <c r="E60" i="13"/>
  <c r="E61" i="13"/>
  <c r="E27" i="13"/>
  <c r="E28" i="13"/>
  <c r="E29" i="13"/>
  <c r="E30" i="13"/>
  <c r="E59" i="11"/>
  <c r="E60" i="11"/>
  <c r="E61" i="11"/>
  <c r="E28" i="11"/>
  <c r="E29" i="11"/>
  <c r="E30" i="11"/>
  <c r="E59" i="10"/>
  <c r="E60" i="10"/>
  <c r="E61" i="10"/>
  <c r="E28" i="10"/>
  <c r="E29" i="10"/>
  <c r="E30" i="10"/>
  <c r="E59" i="9"/>
  <c r="E60" i="9"/>
  <c r="E61" i="9"/>
  <c r="E28" i="9"/>
  <c r="E29" i="9"/>
  <c r="E30" i="9"/>
  <c r="E56" i="25"/>
  <c r="E59" i="25"/>
  <c r="E60" i="25"/>
  <c r="E61" i="25"/>
  <c r="E28" i="25"/>
  <c r="E29" i="25"/>
  <c r="E30" i="25"/>
  <c r="B26" i="25"/>
  <c r="B26" i="1"/>
  <c r="B26" i="6"/>
  <c r="E26" i="6" s="1"/>
  <c r="E30" i="15"/>
  <c r="E29" i="15"/>
  <c r="E28" i="15"/>
  <c r="E27" i="15"/>
  <c r="E26" i="15"/>
  <c r="E30" i="14"/>
  <c r="E29" i="14"/>
  <c r="E28" i="14"/>
  <c r="E27" i="14"/>
  <c r="E26" i="14"/>
  <c r="E26" i="13"/>
  <c r="E30" i="12"/>
  <c r="E29" i="12"/>
  <c r="E28" i="12"/>
  <c r="E27" i="12"/>
  <c r="E26" i="12"/>
  <c r="E27" i="11"/>
  <c r="E26" i="11"/>
  <c r="E58" i="11"/>
  <c r="E57" i="11"/>
  <c r="E27" i="10"/>
  <c r="E26" i="10"/>
  <c r="E27" i="9"/>
  <c r="E26" i="9"/>
  <c r="E30" i="8"/>
  <c r="E29" i="8"/>
  <c r="E28" i="8"/>
  <c r="E27" i="8"/>
  <c r="E26" i="8"/>
  <c r="E59" i="8"/>
  <c r="E60" i="8"/>
  <c r="E61" i="8"/>
  <c r="B33" i="25"/>
  <c r="E33" i="25" s="1"/>
  <c r="C33" i="25"/>
  <c r="B54" i="18" l="1"/>
  <c r="E54" i="18" s="1"/>
  <c r="E54" i="14"/>
  <c r="E55" i="14"/>
  <c r="C54" i="25"/>
  <c r="C54" i="1"/>
  <c r="C54" i="7"/>
  <c r="E54" i="7" s="1"/>
  <c r="C54" i="6"/>
  <c r="B55" i="25" l="1"/>
  <c r="B55" i="1"/>
  <c r="E55" i="1" s="1"/>
  <c r="B55" i="6"/>
  <c r="E55" i="6" s="1"/>
  <c r="B25" i="7" l="1"/>
  <c r="E25" i="7" s="1"/>
  <c r="C21" i="25" l="1"/>
  <c r="C21" i="1"/>
  <c r="E21" i="1" s="1"/>
  <c r="C21" i="7"/>
  <c r="E21" i="7" s="1"/>
  <c r="C22" i="25" l="1"/>
  <c r="C22" i="1"/>
  <c r="B54" i="25" l="1"/>
  <c r="B54" i="1"/>
  <c r="E54" i="1" s="1"/>
  <c r="B54" i="6"/>
  <c r="E54" i="6" s="1"/>
  <c r="C48" i="25" l="1"/>
  <c r="C48" i="1"/>
  <c r="C48" i="7"/>
  <c r="E48" i="7" s="1"/>
  <c r="C48" i="6"/>
  <c r="C51" i="25" l="1"/>
  <c r="C51" i="1"/>
  <c r="C51" i="7"/>
  <c r="C51" i="6"/>
  <c r="E18" i="8" l="1"/>
  <c r="C18" i="25"/>
  <c r="C18" i="1"/>
  <c r="C18" i="7"/>
  <c r="E18" i="7" s="1"/>
  <c r="C18" i="6"/>
  <c r="E18" i="6" s="1"/>
  <c r="B21" i="25" l="1"/>
  <c r="C19" i="25" l="1"/>
  <c r="C19" i="1"/>
  <c r="C19" i="6"/>
  <c r="B22" i="1" l="1"/>
  <c r="E22" i="1" s="1"/>
  <c r="B22" i="6"/>
  <c r="E22" i="6" s="1"/>
  <c r="B48" i="25" l="1"/>
  <c r="B48" i="1"/>
  <c r="E48" i="1" s="1"/>
  <c r="B48" i="6"/>
  <c r="E48" i="6" s="1"/>
  <c r="B51" i="25" l="1"/>
  <c r="B51" i="1"/>
  <c r="E51" i="1" s="1"/>
  <c r="B51" i="7"/>
  <c r="E51" i="7" s="1"/>
  <c r="B51" i="6"/>
  <c r="E51" i="6" s="1"/>
  <c r="C47" i="25" l="1"/>
  <c r="C47" i="1"/>
  <c r="C17" i="25" l="1"/>
  <c r="C17" i="1"/>
  <c r="C17" i="7"/>
  <c r="C17" i="6"/>
  <c r="E3" i="15" l="1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2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6" i="14"/>
  <c r="E57" i="14"/>
  <c r="E58" i="14"/>
  <c r="E59" i="14"/>
  <c r="E60" i="14"/>
  <c r="E61" i="14"/>
  <c r="E2" i="14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2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2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2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2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9" i="8"/>
  <c r="E20" i="8"/>
  <c r="E21" i="8"/>
  <c r="E22" i="8"/>
  <c r="E23" i="8"/>
  <c r="E24" i="8"/>
  <c r="E25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2" i="8"/>
  <c r="C52" i="25" l="1"/>
  <c r="C52" i="1"/>
  <c r="E52" i="1" s="1"/>
  <c r="C52" i="7"/>
  <c r="C20" i="25"/>
  <c r="C20" i="1"/>
  <c r="C20" i="7"/>
  <c r="B18" i="25" l="1"/>
  <c r="B18" i="1"/>
  <c r="E18" i="1" s="1"/>
  <c r="C45" i="25" l="1"/>
  <c r="C45" i="1"/>
  <c r="C45" i="6"/>
  <c r="B19" i="25"/>
  <c r="B19" i="1"/>
  <c r="E19" i="1" s="1"/>
  <c r="B19" i="7"/>
  <c r="E19" i="7" s="1"/>
  <c r="B19" i="6"/>
  <c r="E19" i="6" s="1"/>
  <c r="C49" i="18" l="1"/>
  <c r="E49" i="18" s="1"/>
  <c r="C49" i="25"/>
  <c r="C49" i="1"/>
  <c r="C49" i="6"/>
  <c r="E51" i="25" l="1"/>
  <c r="E53" i="25"/>
  <c r="E54" i="25"/>
  <c r="E55" i="25"/>
  <c r="C50" i="25"/>
  <c r="C50" i="1"/>
  <c r="C50" i="6"/>
  <c r="B47" i="25" l="1"/>
  <c r="B47" i="1"/>
  <c r="E47" i="1" s="1"/>
  <c r="B47" i="7"/>
  <c r="E47" i="7" s="1"/>
  <c r="B47" i="6"/>
  <c r="E47" i="6" s="1"/>
  <c r="B52" i="25" l="1"/>
  <c r="E52" i="25" s="1"/>
  <c r="B52" i="7" l="1"/>
  <c r="E52" i="7" s="1"/>
  <c r="B20" i="25"/>
  <c r="B20" i="1"/>
  <c r="E20" i="1" s="1"/>
  <c r="B20" i="7"/>
  <c r="E20" i="7" s="1"/>
  <c r="B20" i="6"/>
  <c r="E20" i="6" s="1"/>
  <c r="B17" i="25"/>
  <c r="B17" i="1" l="1"/>
  <c r="E17" i="1" s="1"/>
  <c r="B17" i="7"/>
  <c r="E17" i="7" s="1"/>
  <c r="B17" i="6"/>
  <c r="E17" i="6" s="1"/>
  <c r="B45" i="25" l="1"/>
  <c r="B45" i="1"/>
  <c r="E45" i="1" s="1"/>
  <c r="B45" i="6"/>
  <c r="E45" i="6" s="1"/>
  <c r="B49" i="25" l="1"/>
  <c r="B49" i="1"/>
  <c r="E49" i="1" s="1"/>
  <c r="B49" i="7"/>
  <c r="E49" i="7" s="1"/>
  <c r="B49" i="6"/>
  <c r="E49" i="6" s="1"/>
  <c r="C15" i="25" l="1"/>
  <c r="C15" i="1"/>
  <c r="E15" i="1" s="1"/>
  <c r="C15" i="6"/>
  <c r="E15" i="6" s="1"/>
  <c r="B50" i="25"/>
  <c r="B50" i="1"/>
  <c r="E50" i="1" s="1"/>
  <c r="B50" i="6"/>
  <c r="E50" i="6" s="1"/>
  <c r="C16" i="25"/>
  <c r="C16" i="1"/>
  <c r="C16" i="7"/>
  <c r="C16" i="6"/>
  <c r="E16" i="1" l="1"/>
  <c r="B16" i="25"/>
  <c r="B16" i="1"/>
  <c r="B16" i="7" l="1"/>
  <c r="E16" i="7" s="1"/>
  <c r="B16" i="6"/>
  <c r="E16" i="6" s="1"/>
  <c r="B15" i="25" l="1"/>
  <c r="B15" i="7"/>
  <c r="E15" i="7" s="1"/>
  <c r="C39" i="25" l="1"/>
  <c r="C39" i="1"/>
  <c r="C39" i="7"/>
  <c r="E39" i="7" s="1"/>
  <c r="C39" i="6"/>
  <c r="E39" i="6" s="1"/>
  <c r="C46" i="25" l="1"/>
  <c r="C46" i="1"/>
  <c r="C46" i="7"/>
  <c r="E46" i="7" s="1"/>
  <c r="C46" i="6"/>
  <c r="C44" i="1" l="1"/>
  <c r="B44" i="1"/>
  <c r="C13" i="1"/>
  <c r="E13" i="1" s="1"/>
  <c r="B13" i="1"/>
  <c r="E44" i="1" l="1"/>
  <c r="C44" i="25"/>
  <c r="B44" i="25"/>
  <c r="C13" i="25"/>
  <c r="E13" i="25" s="1"/>
  <c r="B13" i="25"/>
  <c r="C44" i="6"/>
  <c r="E44" i="25" l="1"/>
  <c r="B39" i="25"/>
  <c r="B39" i="1"/>
  <c r="E39" i="1" s="1"/>
  <c r="C14" i="25" l="1"/>
  <c r="C14" i="1"/>
  <c r="C14" i="6"/>
  <c r="B46" i="25" l="1"/>
  <c r="B46" i="1"/>
  <c r="E46" i="1" s="1"/>
  <c r="B46" i="6"/>
  <c r="E46" i="6" s="1"/>
  <c r="B44" i="7" l="1"/>
  <c r="E44" i="7" s="1"/>
  <c r="B44" i="6"/>
  <c r="E44" i="6" s="1"/>
  <c r="C43" i="25" l="1"/>
  <c r="C43" i="1"/>
  <c r="C43" i="6"/>
  <c r="C6" i="25" l="1"/>
  <c r="C6" i="1"/>
  <c r="C6" i="6"/>
  <c r="C13" i="7" l="1"/>
  <c r="C8" i="25" l="1"/>
  <c r="C8" i="1"/>
  <c r="B14" i="25" l="1"/>
  <c r="B14" i="1"/>
  <c r="E14" i="1" s="1"/>
  <c r="B14" i="6"/>
  <c r="E14" i="6" s="1"/>
  <c r="B43" i="25" l="1"/>
  <c r="B43" i="1"/>
  <c r="E43" i="1" s="1"/>
  <c r="B43" i="7"/>
  <c r="E43" i="7" s="1"/>
  <c r="B43" i="6"/>
  <c r="E43" i="6" s="1"/>
  <c r="B6" i="25" l="1"/>
  <c r="B6" i="1"/>
  <c r="E6" i="1" s="1"/>
  <c r="B6" i="6"/>
  <c r="E6" i="6" s="1"/>
  <c r="B13" i="7" l="1"/>
  <c r="E13" i="7" s="1"/>
  <c r="B13" i="6"/>
  <c r="E13" i="6" s="1"/>
  <c r="B8" i="25" l="1"/>
  <c r="B8" i="1"/>
  <c r="E8" i="1" s="1"/>
  <c r="B8" i="7"/>
  <c r="E8" i="7" s="1"/>
  <c r="B8" i="6"/>
  <c r="E8" i="6" s="1"/>
  <c r="C9" i="25" l="1"/>
  <c r="C9" i="1"/>
  <c r="C9" i="7"/>
  <c r="C9" i="6"/>
  <c r="C11" i="25"/>
  <c r="C11" i="1"/>
  <c r="C11" i="7"/>
  <c r="C11" i="6"/>
  <c r="C41" i="25" l="1"/>
  <c r="C41" i="1"/>
  <c r="C41" i="7"/>
  <c r="C41" i="6"/>
  <c r="E41" i="6" s="1"/>
  <c r="C12" i="25" l="1"/>
  <c r="C12" i="1"/>
  <c r="C12" i="7"/>
  <c r="C12" i="6"/>
  <c r="B11" i="25" l="1"/>
  <c r="B11" i="1"/>
  <c r="E11" i="1" s="1"/>
  <c r="B11" i="7"/>
  <c r="E11" i="7" s="1"/>
  <c r="B11" i="6"/>
  <c r="E11" i="6" s="1"/>
  <c r="B9" i="25"/>
  <c r="B9" i="1"/>
  <c r="E9" i="1" s="1"/>
  <c r="B9" i="7"/>
  <c r="E9" i="7" s="1"/>
  <c r="B9" i="6"/>
  <c r="E9" i="6" s="1"/>
  <c r="C38" i="25" l="1"/>
  <c r="C37" i="25" l="1"/>
  <c r="C37" i="1"/>
  <c r="C37" i="7"/>
  <c r="C37" i="6"/>
  <c r="E6" i="25" l="1"/>
  <c r="E8" i="25"/>
  <c r="E9" i="25"/>
  <c r="E11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39" i="25"/>
  <c r="E43" i="25"/>
  <c r="E45" i="25"/>
  <c r="E46" i="25"/>
  <c r="E47" i="25"/>
  <c r="E48" i="25"/>
  <c r="E49" i="25"/>
  <c r="E50" i="25"/>
  <c r="C42" i="25"/>
  <c r="C42" i="1"/>
  <c r="C42" i="7"/>
  <c r="E42" i="7" s="1"/>
  <c r="C42" i="6"/>
  <c r="B41" i="25" l="1"/>
  <c r="E41" i="25" s="1"/>
  <c r="B41" i="1"/>
  <c r="E41" i="1" s="1"/>
  <c r="B41" i="7"/>
  <c r="E41" i="7" s="1"/>
  <c r="B12" i="25" l="1"/>
  <c r="E12" i="25" s="1"/>
  <c r="B12" i="1"/>
  <c r="E12" i="1" s="1"/>
  <c r="B12" i="7"/>
  <c r="E12" i="7" s="1"/>
  <c r="B12" i="6"/>
  <c r="E12" i="6" s="1"/>
  <c r="C10" i="25" l="1"/>
  <c r="C10" i="1"/>
  <c r="C10" i="7"/>
  <c r="E10" i="7" s="1"/>
  <c r="C40" i="25" l="1"/>
  <c r="C40" i="1"/>
  <c r="C40" i="7"/>
  <c r="C36" i="25" l="1"/>
  <c r="C36" i="1"/>
  <c r="C36" i="7"/>
  <c r="E36" i="7" s="1"/>
  <c r="C36" i="6"/>
  <c r="E36" i="6" s="1"/>
  <c r="B37" i="25" l="1"/>
  <c r="E37" i="25" s="1"/>
  <c r="B37" i="1"/>
  <c r="E37" i="1" s="1"/>
  <c r="B37" i="7"/>
  <c r="E37" i="7" s="1"/>
  <c r="B37" i="6"/>
  <c r="E37" i="6" s="1"/>
  <c r="B42" i="25" l="1"/>
  <c r="E42" i="25" s="1"/>
  <c r="B42" i="1"/>
  <c r="E42" i="1" s="1"/>
  <c r="B42" i="6"/>
  <c r="E42" i="6" s="1"/>
  <c r="B40" i="25" l="1"/>
  <c r="E40" i="25" s="1"/>
  <c r="B40" i="1"/>
  <c r="E40" i="1" s="1"/>
  <c r="B40" i="7"/>
  <c r="E40" i="7" s="1"/>
  <c r="B10" i="25"/>
  <c r="E10" i="25" s="1"/>
  <c r="B10" i="1"/>
  <c r="E10" i="1" s="1"/>
  <c r="B10" i="6"/>
  <c r="E10" i="6" s="1"/>
  <c r="B36" i="25"/>
  <c r="E36" i="25" s="1"/>
  <c r="B36" i="1"/>
  <c r="E36" i="1" s="1"/>
  <c r="C7" i="25"/>
  <c r="C7" i="1"/>
  <c r="C38" i="1"/>
  <c r="C5" i="25"/>
  <c r="C5" i="1"/>
  <c r="C5" i="6"/>
  <c r="C35" i="7"/>
  <c r="E35" i="7" s="1"/>
  <c r="C35" i="6"/>
  <c r="E35" i="6" s="1"/>
  <c r="C35" i="25"/>
  <c r="C35" i="1"/>
  <c r="B38" i="25"/>
  <c r="E38" i="25" s="1"/>
  <c r="B38" i="1"/>
  <c r="B38" i="6"/>
  <c r="E38" i="6" s="1"/>
  <c r="B5" i="7"/>
  <c r="E5" i="7" s="1"/>
  <c r="B5" i="6"/>
  <c r="B5" i="25"/>
  <c r="B5" i="1"/>
  <c r="B35" i="25"/>
  <c r="B35" i="1"/>
  <c r="B35" i="6"/>
  <c r="C7" i="7"/>
  <c r="E7" i="7" s="1"/>
  <c r="C7" i="6"/>
  <c r="E7" i="6" s="1"/>
  <c r="C4" i="25"/>
  <c r="B7" i="25"/>
  <c r="B7" i="1"/>
  <c r="C4" i="1"/>
  <c r="E4" i="1" s="1"/>
  <c r="B4" i="25"/>
  <c r="B4" i="1"/>
  <c r="C3" i="25"/>
  <c r="C3" i="1"/>
  <c r="E3" i="1" s="1"/>
  <c r="C33" i="1"/>
  <c r="B3" i="25"/>
  <c r="B3" i="1"/>
  <c r="B33" i="1"/>
  <c r="C34" i="25"/>
  <c r="C34" i="1"/>
  <c r="C2" i="25"/>
  <c r="E2" i="25" s="1"/>
  <c r="C2" i="1"/>
  <c r="E2" i="1" s="1"/>
  <c r="B34" i="25"/>
  <c r="B2" i="25"/>
  <c r="B34" i="1"/>
  <c r="B2" i="1"/>
  <c r="E35" i="1" l="1"/>
  <c r="E38" i="1"/>
  <c r="E5" i="6"/>
  <c r="E7" i="1"/>
  <c r="E33" i="1"/>
  <c r="E34" i="1"/>
  <c r="E5" i="1"/>
  <c r="E7" i="25"/>
  <c r="E35" i="25"/>
  <c r="E34" i="25"/>
  <c r="E3" i="25"/>
  <c r="E5" i="25"/>
  <c r="E4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C3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think there may be some error here as UG took first 3 measures and I took the 4th. 
First UG measure = 72.5, which ive excluded here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W33" authorId="0" shapeId="0" xr:uid="{00000000-0006-0000-2B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</t>
        </r>
      </text>
    </comment>
    <comment ref="AA34" authorId="0" shapeId="0" xr:uid="{00000000-0006-0000-2B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during dinner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W33" authorId="0" shapeId="0" xr:uid="{00000000-0006-0000-2C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</t>
        </r>
      </text>
    </comment>
    <comment ref="AA34" authorId="0" shapeId="0" xr:uid="{00000000-0006-0000-2C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during dinner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W33" authorId="0" shapeId="0" xr:uid="{00000000-0006-0000-2D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</t>
        </r>
      </text>
    </comment>
    <comment ref="AA34" authorId="0" shapeId="0" xr:uid="{00000000-0006-0000-2D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during dinner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W33" authorId="0" shapeId="0" xr:uid="{00000000-0006-0000-2E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</t>
        </r>
      </text>
    </comment>
    <comment ref="AA34" authorId="0" shapeId="0" xr:uid="{00000000-0006-0000-2E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during dinner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W33" authorId="0" shapeId="0" xr:uid="{00000000-0006-0000-2F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</t>
        </r>
      </text>
    </comment>
    <comment ref="AA34" authorId="0" shapeId="0" xr:uid="{00000000-0006-0000-2F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during dinner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W33" authorId="0" shapeId="0" xr:uid="{00000000-0006-0000-30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</t>
        </r>
      </text>
    </comment>
    <comment ref="AA34" authorId="0" shapeId="0" xr:uid="{00000000-0006-0000-30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during dinner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W33" authorId="0" shapeId="0" xr:uid="{00000000-0006-0000-31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</t>
        </r>
      </text>
    </comment>
    <comment ref="AA34" authorId="0" shapeId="0" xr:uid="{00000000-0006-0000-31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during dinner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W33" authorId="0" shapeId="0" xr:uid="{00000000-0006-0000-32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</t>
        </r>
      </text>
    </comment>
    <comment ref="AA34" authorId="0" shapeId="0" xr:uid="{00000000-0006-0000-32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during dinner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R1" authorId="0" shapeId="0" xr:uid="{00000000-0006-0000-33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Average minus the relevant nutrients from the breakfast (oats + milk + sugar (where relevant)</t>
        </r>
      </text>
    </comment>
    <comment ref="A42" authorId="0" shapeId="0" xr:uid="{00000000-0006-0000-33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days 1-4 in nutritics are days 5-8 and vice versa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R1" authorId="0" shapeId="0" xr:uid="{00000000-0006-0000-34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Average minus the relevant nutrients from the breakfast (oats + milk + sugar (where relevant)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C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(RMR = 1667)</t>
        </r>
      </text>
    </comment>
    <comment ref="B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due to being outside of error range (RMR = 1390 kcal/d)
</t>
        </r>
      </text>
    </comment>
    <comment ref="B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bag excluded (RMR = 1535 kcal/d)</t>
        </r>
      </text>
    </comment>
    <comment ref="C4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bag excluded RMR = 1083 kcal/d</t>
        </r>
      </text>
    </comment>
    <comment ref="C5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excldued RMR = 1781 kcal/d</t>
        </r>
      </text>
    </comment>
    <comment ref="B6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leaked (no data)
bag 2 out of error RMR 1238 kcal/d</t>
        </r>
      </text>
    </comment>
    <comment ref="B7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RMR 1511 kcal/d</t>
        </r>
      </text>
    </comment>
    <comment ref="C7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3 excluded RMR 1560 kcal/d</t>
        </r>
      </text>
    </comment>
    <comment ref="C8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4 excluded RMR 962 kcal/d</t>
        </r>
      </text>
    </comment>
    <comment ref="C11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RMR 1442 kcal/d</t>
        </r>
      </text>
    </comment>
    <comment ref="B12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2nd bag = error in recording (invalid data, unable to measure expired gas)
1st bag excluded RMR 1726 kcal/d</t>
        </r>
      </text>
    </comment>
    <comment ref="C12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bag excluded RMR 1792 kcal/d</t>
        </r>
      </text>
    </comment>
    <comment ref="B14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2 excluded, RMR = 1520 kcal/d</t>
        </r>
      </text>
    </comment>
    <comment ref="C14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excluded, RMR 1247 kcal/d</t>
        </r>
      </text>
    </comment>
    <comment ref="C15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2nd bag excluded RMR 1560 kcal/d</t>
        </r>
      </text>
    </comment>
    <comment ref="C16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bag excluded, RMR = 1466 kcal/d</t>
        </r>
      </text>
    </comment>
    <comment ref="B18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bag excluded RMR = 1743 kcal/d</t>
        </r>
      </text>
    </comment>
    <comment ref="B19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 and 4 excluded RMR = 1387 and 1130 kcal/d respectively</t>
        </r>
      </text>
    </comment>
    <comment ref="C19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bag excluded due to breaking the tubing when analysing the sample
RNR = 1027 kcal/d</t>
        </r>
      </text>
    </comment>
    <comment ref="B22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4 bags using face mask leaked (tightened things up when I noticed but didn't help) so did an extra 2 using mouthpiece</t>
        </r>
      </text>
    </comment>
    <comment ref="B23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3 and 4 excluded, RMR  948 and 1032 kcal/d respectively
but actually think all bag are invalid as largest expired gas volume was 26.7</t>
        </r>
      </text>
    </comment>
    <comment ref="C23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 and 2 excluded, RMR 566, 864 kcal/d respectively (leaky mask)</t>
        </r>
      </text>
    </comment>
    <comment ref="B24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excluded, RMR = 1647 kcal/d
</t>
        </r>
      </text>
    </comment>
    <comment ref="C24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 and 4 excluded, RMR = 1791 and 1664 kcal/d respectively</t>
        </r>
      </text>
    </comment>
    <comment ref="B25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 bag (using facemask) leaked, so did an extra one with mouthpiece and used that value (all previous bags RMR &lt; 1000 kcal/d)</t>
        </r>
      </text>
    </comment>
    <comment ref="C25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excluded, RMR = 2424 kcal/d</t>
        </r>
      </text>
    </comment>
    <comment ref="B26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RMR = 1055 kcal/d</t>
        </r>
      </text>
    </comment>
    <comment ref="C26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Mask leaked I think, despite adjusting it several times between bags. All RMR values invalid:
907, 803, 883, 976 kcal/d for each bag</t>
        </r>
      </text>
    </comment>
    <comment ref="C27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think bag leaked for all of these (volume = beyweent 28.3 L and 33.4 L
these results are from the 2 most similar bags (3 and 4) but are definitely wrong</t>
        </r>
      </text>
    </comment>
    <comment ref="B28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excluded, RMR 1847 kcal/d</t>
        </r>
      </text>
    </comment>
    <comment ref="C28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 and 2 excluded, RMR = 1632, 1758 kcal/d respectively</t>
        </r>
      </text>
    </comment>
    <comment ref="B30" authorId="0" shapeId="0" xr:uid="{00000000-0006-0000-0B00-00002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1, 2, 3 seemed to leak with facemask. Bag 4 used mouthpiece
RMRs for 1, 2, 3:
506, 607, 520 kcal/d</t>
        </r>
      </text>
    </comment>
    <comment ref="B33" authorId="0" shapeId="0" xr:uid="{00000000-0006-0000-0B00-00002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Fourth bag excluded (RMR = 20175 kcal/d)</t>
        </r>
      </text>
    </comment>
    <comment ref="C33" authorId="0" shapeId="0" xr:uid="{00000000-0006-0000-0B00-00002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and last bag excluded due to high variance:
bag 1: 1785 kcal/d
bag 4: 1990 kcal/d</t>
        </r>
      </text>
    </comment>
    <comment ref="C34" authorId="0" shapeId="0" xr:uid="{00000000-0006-0000-0B00-00002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Excluded first bag RMR = 1445 kcal/d
</t>
        </r>
      </text>
    </comment>
    <comment ref="B35" authorId="0" shapeId="0" xr:uid="{00000000-0006-0000-0B00-00002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excluded first bag, RMR = 1620 kcal/d</t>
        </r>
      </text>
    </comment>
    <comment ref="B36" authorId="0" shapeId="0" xr:uid="{00000000-0006-0000-0B00-00002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4th bag not collected due to douglas bag being opened by accidence when analysing expired gas</t>
        </r>
      </text>
    </comment>
    <comment ref="C36" authorId="0" shapeId="0" xr:uid="{00000000-0006-0000-0B00-00002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2nd bag excluded RMR = 1646 kcal/d</t>
        </r>
      </text>
    </comment>
    <comment ref="C37" authorId="0" shapeId="0" xr:uid="{00000000-0006-0000-0B00-00002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second 2 bags excluded due to being higher than the 1st 2 bags and outside of the 100 kcal/d level of error of bag 1
RMR bag 3: 1301
RMR bag 4: 1284</t>
        </r>
      </text>
    </comment>
    <comment ref="B38" authorId="0" shapeId="0" xr:uid="{00000000-0006-0000-0B00-00002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3 excluded, RMR = 1477 kcal/d</t>
        </r>
      </text>
    </comment>
    <comment ref="B39" authorId="0" shapeId="0" xr:uid="{00000000-0006-0000-0B00-00002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3rd bag excluded, RMR 1395 kcal/d</t>
        </r>
      </text>
    </comment>
    <comment ref="C39" authorId="0" shapeId="0" xr:uid="{00000000-0006-0000-0B00-00002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2 and 3 excluded
RMR 869 and 967 kcal/d, respectively</t>
        </r>
      </text>
    </comment>
    <comment ref="B40" authorId="0" shapeId="0" xr:uid="{00000000-0006-0000-0B00-00002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2 excluded RMR = 1698 kcal/d</t>
        </r>
      </text>
    </comment>
    <comment ref="C40" authorId="0" shapeId="0" xr:uid="{00000000-0006-0000-0B00-00002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RMR 2209 kcal/d</t>
        </r>
      </text>
    </comment>
    <comment ref="B41" authorId="0" shapeId="0" xr:uid="{00000000-0006-0000-0B00-00002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RMR 1502 kcal/d</t>
        </r>
      </text>
    </comment>
    <comment ref="C41" authorId="0" shapeId="0" xr:uid="{00000000-0006-0000-0B00-00002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3rd bag excluded RMR 1092 kcal/d</t>
        </r>
      </text>
    </comment>
    <comment ref="B42" authorId="0" shapeId="0" xr:uid="{00000000-0006-0000-0B00-00002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&gt; 100 kcal/d difference from two most consistent bags
RMR bag 1 = 1286 kcal/d</t>
        </r>
      </text>
    </comment>
    <comment ref="C42" authorId="0" shapeId="0" xr:uid="{00000000-0006-0000-0B00-00003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bag leaked so no data</t>
        </r>
      </text>
    </comment>
    <comment ref="B43" authorId="0" shapeId="0" xr:uid="{00000000-0006-0000-0B00-00003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RMR 1804 kcal/d</t>
        </r>
      </text>
    </comment>
    <comment ref="C43" authorId="0" shapeId="0" xr:uid="{00000000-0006-0000-0B00-00003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RMR 1947 kcal/d</t>
        </r>
      </text>
    </comment>
    <comment ref="C47" authorId="0" shapeId="0" xr:uid="{00000000-0006-0000-0B00-00003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RMR 1259 kcal/d</t>
        </r>
      </text>
    </comment>
    <comment ref="B48" authorId="0" shapeId="0" xr:uid="{00000000-0006-0000-0B00-00003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excluded, RMR = 1691 kcal/d
Bag 4 vacuum didn't work so couldn't get the data</t>
        </r>
      </text>
    </comment>
    <comment ref="C48" authorId="0" shapeId="0" xr:uid="{00000000-0006-0000-0B00-00003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2 excluded, RMR = 1505 kcal/d</t>
        </r>
      </text>
    </comment>
    <comment ref="B50" authorId="0" shapeId="0" xr:uid="{00000000-0006-0000-0B00-00003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excluded, RMR = 1455 kcal/d</t>
        </r>
      </text>
    </comment>
    <comment ref="B53" authorId="0" shapeId="0" xr:uid="{00000000-0006-0000-0B00-00003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4 excluded, RMR 1427 kcal/d</t>
        </r>
      </text>
    </comment>
    <comment ref="C53" authorId="0" shapeId="0" xr:uid="{00000000-0006-0000-0B00-00003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2 excluded, RMR 1521 kcal/d
</t>
        </r>
      </text>
    </comment>
    <comment ref="B54" authorId="0" shapeId="0" xr:uid="{00000000-0006-0000-0B00-00003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excluded, RMR 1409 kcal/d</t>
        </r>
      </text>
    </comment>
    <comment ref="C54" authorId="0" shapeId="0" xr:uid="{00000000-0006-0000-0B00-00003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2 and 3 excluded, 
RMR = 1144, and 934 kcal/d respectively</t>
        </r>
      </text>
    </comment>
    <comment ref="B55" authorId="0" shapeId="0" xr:uid="{00000000-0006-0000-0B00-00003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3 excxluded, RMR = 1755 kcal/d</t>
        </r>
      </text>
    </comment>
    <comment ref="C55" authorId="0" shapeId="0" xr:uid="{00000000-0006-0000-0B00-00003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RMR = 1883 kcal/d</t>
        </r>
      </text>
    </comment>
    <comment ref="B57" authorId="0" shapeId="0" xr:uid="{00000000-0006-0000-0B00-00003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1, 2, 3 leaked it seem (expired volume = 22.8, 26.7, 25.0 L). RMR = 872, 979, 934 kcal/d respectively</t>
        </r>
      </text>
    </comment>
    <comment ref="C57" authorId="0" shapeId="0" xr:uid="{00000000-0006-0000-0B00-00003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only 3 bags taken using mouthpiece</t>
        </r>
      </text>
    </comment>
    <comment ref="C58" authorId="0" shapeId="0" xr:uid="{00000000-0006-0000-0B00-00003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mask leaked perhaps? 
Bags 1 and 2 agreed well so these have been inputted, but I'm not convinved these are valid. 
Bags 3 and 4: 1144, 902 kcal/d</t>
        </r>
      </text>
    </comment>
    <comment ref="B59" authorId="0" shapeId="0" xr:uid="{00000000-0006-0000-0B00-00004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1, 3, 4 excluded, I think the mask leaked as the expired gas volume was very low for all of them. 
RMR = 884, 1036, 942 kcal/d, respectively</t>
        </r>
      </text>
    </comment>
    <comment ref="C59" authorId="0" shapeId="0" xr:uid="{00000000-0006-0000-0B00-00004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4 excluded (might have fallen asleep hence lower value):
RMR = 1404 kcal/d</t>
        </r>
      </text>
    </comment>
    <comment ref="C60" authorId="0" shapeId="0" xr:uid="{00000000-0006-0000-0B00-00004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excluded: RMR = 1357 kcal/d</t>
        </r>
      </text>
    </comment>
    <comment ref="C61" authorId="0" shapeId="0" xr:uid="{00000000-0006-0000-0B00-00004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3 excluded, RMR 1760 kcal/d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R1" authorId="0" shapeId="0" xr:uid="{00000000-0006-0000-35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Average minus the relevant nutrients from the breakfast (oats + milk + sugar (where relevant)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R1" authorId="0" shapeId="0" xr:uid="{00000000-0006-0000-36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Average minus the relevant nutrients from the breakfast (oats + milk + sugar (where relevant)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R1" authorId="0" shapeId="0" xr:uid="{00000000-0006-0000-37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Average minus the relevant nutrients from the breakfast (oats + milk + sugar (where relevant)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R1" authorId="0" shapeId="0" xr:uid="{00000000-0006-0000-38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Average minus the relevant nutrients from the breakfast (oats + milk + sugar (where relevant)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R1" authorId="0" shapeId="0" xr:uid="{00000000-0006-0000-39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Average minus the relevant nutrients from the breakfast (oats + milk + sugar (where relevant)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R1" authorId="0" shapeId="0" xr:uid="{00000000-0006-0000-3A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Average minus the relevant nutrients from the breakfast (oats + milk + sugar (where relevant)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C4" authorId="0" shapeId="0" xr:uid="{00000000-0006-0000-3B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577.993
21.18 % recovered</t>
        </r>
      </text>
    </comment>
    <comment ref="D4" authorId="0" shapeId="0" xr:uid="{00000000-0006-0000-3B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396.406
81.25 % lost
32.92 % recovered</t>
        </r>
      </text>
    </comment>
    <comment ref="E4" authorId="0" shapeId="0" xr:uid="{00000000-0006-0000-3B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298.936
22.92 % recovered</t>
        </r>
      </text>
    </comment>
    <comment ref="G4" authorId="0" shapeId="0" xr:uid="{00000000-0006-0000-3B00-00000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583.111
89.44 % lost</t>
        </r>
      </text>
    </comment>
    <comment ref="F5" authorId="0" shapeId="0" xr:uid="{00000000-0006-0000-3B00-00000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24.89 %
recovered: 29.65 %</t>
        </r>
      </text>
    </comment>
    <comment ref="G5" authorId="0" shapeId="0" xr:uid="{00000000-0006-0000-3B00-00000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20.28 %
recovered: 31.11 %</t>
        </r>
      </text>
    </comment>
    <comment ref="H5" authorId="0" shapeId="0" xr:uid="{00000000-0006-0000-3B00-00000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25.35 %
recovered: 39.24</t>
        </r>
      </text>
    </comment>
    <comment ref="I5" authorId="0" shapeId="0" xr:uid="{00000000-0006-0000-3B00-00000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20 %
recovered: 26.32 %</t>
        </r>
      </text>
    </comment>
    <comment ref="B7" authorId="0" shapeId="0" xr:uid="{00000000-0006-0000-3B00-00000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E7" authorId="0" shapeId="0" xr:uid="{00000000-0006-0000-3B00-00000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F9" authorId="0" shapeId="0" xr:uid="{00000000-0006-0000-3B00-00000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24.65 % recovered</t>
        </r>
      </text>
    </comment>
    <comment ref="G9" authorId="0" shapeId="0" xr:uid="{00000000-0006-0000-3B00-00000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48.82 % recovered</t>
        </r>
      </text>
    </comment>
    <comment ref="H10" authorId="0" shapeId="0" xr:uid="{00000000-0006-0000-3B00-00000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27.71 % recovered data</t>
        </r>
      </text>
    </comment>
    <comment ref="B11" authorId="0" shapeId="0" xr:uid="{00000000-0006-0000-3B00-00000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 
</t>
        </r>
      </text>
    </comment>
    <comment ref="C11" authorId="0" shapeId="0" xr:uid="{00000000-0006-0000-3B00-00000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 - above threshold but not too bad considering we have so much missing data for this arm</t>
        </r>
      </text>
    </comment>
    <comment ref="D11" authorId="0" shapeId="0" xr:uid="{00000000-0006-0000-3B00-00001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74 % lost</t>
        </r>
      </text>
    </comment>
    <comment ref="F11" authorId="0" shapeId="0" xr:uid="{00000000-0006-0000-3B00-00001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lost
27 % recovered</t>
        </r>
      </text>
    </comment>
    <comment ref="G11" authorId="0" shapeId="0" xr:uid="{00000000-0006-0000-3B00-00001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47 % lost
27 % recovered</t>
        </r>
      </text>
    </comment>
    <comment ref="H11" authorId="0" shapeId="0" xr:uid="{00000000-0006-0000-3B00-00001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
25 % recovered</t>
        </r>
      </text>
    </comment>
    <comment ref="I11" authorId="0" shapeId="0" xr:uid="{00000000-0006-0000-3B00-00001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88 % lost
2 % recovered</t>
        </r>
      </text>
    </comment>
    <comment ref="F12" authorId="0" shapeId="0" xr:uid="{00000000-0006-0000-3B00-00001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G12" authorId="0" shapeId="0" xr:uid="{00000000-0006-0000-3B00-00001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12" authorId="0" shapeId="0" xr:uid="{00000000-0006-0000-3B00-00001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I12" authorId="0" shapeId="0" xr:uid="{00000000-0006-0000-3B00-00001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G13" authorId="0" shapeId="0" xr:uid="{00000000-0006-0000-3B00-00001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days 2, 3, and 4 had too much recovered data so these are from days 5, 6, 7 of actiheart wearing</t>
        </r>
      </text>
    </comment>
    <comment ref="C14" authorId="0" shapeId="0" xr:uid="{00000000-0006-0000-3B00-00001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E14" authorId="0" shapeId="0" xr:uid="{00000000-0006-0000-3B00-00001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F15" authorId="0" shapeId="0" xr:uid="{00000000-0006-0000-3B00-00001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data lost</t>
        </r>
      </text>
    </comment>
    <comment ref="B16" authorId="0" shapeId="0" xr:uid="{00000000-0006-0000-3B00-00001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recovered</t>
        </r>
      </text>
    </comment>
    <comment ref="C16" authorId="0" shapeId="0" xr:uid="{00000000-0006-0000-3B00-00001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D16" authorId="0" shapeId="0" xr:uid="{00000000-0006-0000-3B00-00001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16" authorId="0" shapeId="0" xr:uid="{00000000-0006-0000-3B00-00002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E17" authorId="0" shapeId="0" xr:uid="{00000000-0006-0000-3B00-00002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36 % recovered</t>
        </r>
      </text>
    </comment>
    <comment ref="F17" authorId="0" shapeId="0" xr:uid="{00000000-0006-0000-3B00-00002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lost</t>
        </r>
      </text>
    </comment>
    <comment ref="H18" authorId="0" shapeId="0" xr:uid="{00000000-0006-0000-3B00-00002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I22" authorId="0" shapeId="0" xr:uid="{00000000-0006-0000-3B00-00002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F23" authorId="0" shapeId="0" xr:uid="{00000000-0006-0000-3B00-00002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D24" authorId="0" shapeId="0" xr:uid="{00000000-0006-0000-3B00-00002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E24" authorId="0" shapeId="0" xr:uid="{00000000-0006-0000-3B00-00002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F25" authorId="0" shapeId="0" xr:uid="{00000000-0006-0000-3B00-00002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F26" authorId="0" shapeId="0" xr:uid="{00000000-0006-0000-3B00-00002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26" authorId="0" shapeId="0" xr:uid="{00000000-0006-0000-3B00-00002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50 % lost</t>
        </r>
      </text>
    </comment>
    <comment ref="I26" authorId="0" shapeId="0" xr:uid="{00000000-0006-0000-3B00-00002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E27" authorId="0" shapeId="0" xr:uid="{00000000-0006-0000-3B00-00002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H27" authorId="0" shapeId="0" xr:uid="{00000000-0006-0000-3B00-00002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43 % recovered</t>
        </r>
      </text>
    </comment>
    <comment ref="I27" authorId="0" shapeId="0" xr:uid="{00000000-0006-0000-3B00-00002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recovered</t>
        </r>
      </text>
    </comment>
    <comment ref="H30" authorId="0" shapeId="0" xr:uid="{00000000-0006-0000-3B00-00002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C34" authorId="0" shapeId="0" xr:uid="{00000000-0006-0000-3B00-00003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875.88
24.65 % recovered data</t>
        </r>
      </text>
    </comment>
    <comment ref="E34" authorId="0" shapeId="0" xr:uid="{00000000-0006-0000-3B00-00003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237.47
51.74 % recovered data</t>
        </r>
      </text>
    </comment>
    <comment ref="B35" authorId="0" shapeId="0" xr:uid="{00000000-0006-0000-3B00-00003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512.965
65.14 % not lost
9.72 % recovered</t>
        </r>
      </text>
    </comment>
    <comment ref="D35" authorId="0" shapeId="0" xr:uid="{00000000-0006-0000-3B00-00003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332.593
89.65 % not lost
41.46 % recovered</t>
        </r>
      </text>
    </comment>
    <comment ref="E35" authorId="0" shapeId="0" xr:uid="{00000000-0006-0000-3B00-00003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808.528
97.71 % not lost
27.57 % recovered</t>
        </r>
      </text>
    </comment>
    <comment ref="F35" authorId="0" shapeId="0" xr:uid="{00000000-0006-0000-3B00-00003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548.972
75.49 % not lost
15.76 % recovered</t>
        </r>
      </text>
    </comment>
    <comment ref="G35" authorId="0" shapeId="0" xr:uid="{00000000-0006-0000-3B00-00003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797.435
67.85 % not lost
19.24 % recovered</t>
        </r>
      </text>
    </comment>
    <comment ref="H35" authorId="0" shapeId="0" xr:uid="{00000000-0006-0000-3B00-00003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485.857
96.6 % not lost
42.08 recovered</t>
        </r>
      </text>
    </comment>
    <comment ref="I35" authorId="0" shapeId="0" xr:uid="{00000000-0006-0000-3B00-00003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471.064
92.85 % not lost
34.44 % recovered</t>
        </r>
      </text>
    </comment>
    <comment ref="B36" authorId="0" shapeId="0" xr:uid="{00000000-0006-0000-3B00-00003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33.68 %
recovered: 34.38</t>
        </r>
      </text>
    </comment>
    <comment ref="C36" authorId="0" shapeId="0" xr:uid="{00000000-0006-0000-3B00-00003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28.82 % lost
27.50 % recovered</t>
        </r>
      </text>
    </comment>
    <comment ref="D36" authorId="0" shapeId="0" xr:uid="{00000000-0006-0000-3B00-00003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33.75 %
recovered: 18.19</t>
        </r>
      </text>
    </comment>
    <comment ref="E36" authorId="0" shapeId="0" xr:uid="{00000000-0006-0000-3B00-00003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29.36 % lost
29.17 % recovered</t>
        </r>
      </text>
    </comment>
    <comment ref="C38" authorId="0" shapeId="0" xr:uid="{00000000-0006-0000-3B00-00003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F38" authorId="0" shapeId="0" xr:uid="{00000000-0006-0000-3B00-00003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I39" authorId="0" shapeId="0" xr:uid="{00000000-0006-0000-3B00-00003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lost</t>
        </r>
      </text>
    </comment>
    <comment ref="B40" authorId="0" shapeId="0" xr:uid="{00000000-0006-0000-3B00-00004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40 %</t>
        </r>
      </text>
    </comment>
    <comment ref="C40" authorId="0" shapeId="0" xr:uid="{00000000-0006-0000-3B00-00004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57 %</t>
        </r>
      </text>
    </comment>
    <comment ref="D40" authorId="0" shapeId="0" xr:uid="{00000000-0006-0000-3B00-00004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62 %</t>
        </r>
      </text>
    </comment>
    <comment ref="E40" authorId="0" shapeId="0" xr:uid="{00000000-0006-0000-3B00-00004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55 %</t>
        </r>
      </text>
    </comment>
    <comment ref="G40" authorId="0" shapeId="0" xr:uid="{00000000-0006-0000-3B00-00004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27 %</t>
        </r>
      </text>
    </comment>
    <comment ref="I40" authorId="0" shapeId="0" xr:uid="{00000000-0006-0000-3B00-00004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48 %</t>
        </r>
      </text>
    </comment>
    <comment ref="D41" authorId="0" shapeId="0" xr:uid="{00000000-0006-0000-3B00-00004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44 % lost
</t>
        </r>
      </text>
    </comment>
    <comment ref="E41" authorId="0" shapeId="0" xr:uid="{00000000-0006-0000-3B00-00004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11.32 % lost</t>
        </r>
      </text>
    </comment>
    <comment ref="F41" authorId="0" shapeId="0" xr:uid="{00000000-0006-0000-3B00-00004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G41" authorId="0" shapeId="0" xr:uid="{00000000-0006-0000-3B00-00004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29.79 % recovered</t>
        </r>
      </text>
    </comment>
    <comment ref="H41" authorId="0" shapeId="0" xr:uid="{00000000-0006-0000-3B00-00004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lost
</t>
        </r>
      </text>
    </comment>
    <comment ref="I41" authorId="0" shapeId="0" xr:uid="{00000000-0006-0000-3B00-00004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33 % recovered</t>
        </r>
      </text>
    </comment>
    <comment ref="C42" authorId="0" shapeId="0" xr:uid="{00000000-0006-0000-3B00-00004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45 % recovered</t>
        </r>
      </text>
    </comment>
    <comment ref="D42" authorId="0" shapeId="0" xr:uid="{00000000-0006-0000-3B00-00004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29 % recovered</t>
        </r>
      </text>
    </comment>
    <comment ref="G42" authorId="0" shapeId="0" xr:uid="{00000000-0006-0000-3B00-00004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
</t>
        </r>
      </text>
    </comment>
    <comment ref="H42" authorId="0" shapeId="0" xr:uid="{00000000-0006-0000-3B00-00004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
</t>
        </r>
      </text>
    </comment>
    <comment ref="F43" authorId="0" shapeId="0" xr:uid="{00000000-0006-0000-3B00-00005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lost, 22 % recovered</t>
        </r>
      </text>
    </comment>
    <comment ref="G43" authorId="0" shapeId="0" xr:uid="{00000000-0006-0000-3B00-00005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H43" authorId="0" shapeId="0" xr:uid="{00000000-0006-0000-3B00-00005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lost </t>
        </r>
      </text>
    </comment>
    <comment ref="I43" authorId="0" shapeId="0" xr:uid="{00000000-0006-0000-3B00-00005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27 % recovered</t>
        </r>
      </text>
    </comment>
    <comment ref="E45" authorId="0" shapeId="0" xr:uid="{00000000-0006-0000-3B00-00005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unable to wear activity monitor</t>
        </r>
      </text>
    </comment>
    <comment ref="C46" authorId="0" shapeId="0" xr:uid="{00000000-0006-0000-3B00-00005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data recovered</t>
        </r>
      </text>
    </comment>
    <comment ref="D46" authorId="0" shapeId="0" xr:uid="{00000000-0006-0000-3B00-00005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data recovered</t>
        </r>
      </text>
    </comment>
    <comment ref="E46" authorId="0" shapeId="0" xr:uid="{00000000-0006-0000-3B00-00005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data recovered</t>
        </r>
      </text>
    </comment>
    <comment ref="B47" authorId="0" shapeId="0" xr:uid="{00000000-0006-0000-3B00-00005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recovered</t>
        </r>
      </text>
    </comment>
    <comment ref="C47" authorId="0" shapeId="0" xr:uid="{00000000-0006-0000-3B00-00005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58 % recovered</t>
        </r>
      </text>
    </comment>
    <comment ref="D47" authorId="0" shapeId="0" xr:uid="{00000000-0006-0000-3B00-00005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47" authorId="0" shapeId="0" xr:uid="{00000000-0006-0000-3B00-00005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0" shapeId="0" xr:uid="{00000000-0006-0000-3B00-00005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C49" authorId="0" shapeId="0" xr:uid="{00000000-0006-0000-3B00-00005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48 % recovered</t>
        </r>
      </text>
    </comment>
    <comment ref="D49" authorId="0" shapeId="0" xr:uid="{00000000-0006-0000-3B00-00005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  <comment ref="I49" authorId="0" shapeId="0" xr:uid="{00000000-0006-0000-3B00-00005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23 % lost</t>
        </r>
      </text>
    </comment>
    <comment ref="H50" authorId="0" shapeId="0" xr:uid="{00000000-0006-0000-3B00-00006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I50" authorId="0" shapeId="0" xr:uid="{00000000-0006-0000-3B00-00006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H52" authorId="0" shapeId="0" xr:uid="{00000000-0006-0000-3B00-00006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32 % recovered</t>
        </r>
      </text>
    </comment>
    <comment ref="I52" authorId="0" shapeId="0" xr:uid="{00000000-0006-0000-3B00-00006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recovered</t>
        </r>
      </text>
    </comment>
    <comment ref="C53" authorId="0" shapeId="0" xr:uid="{00000000-0006-0000-3B00-00006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recovered</t>
        </r>
      </text>
    </comment>
    <comment ref="E53" authorId="0" shapeId="0" xr:uid="{00000000-0006-0000-3B00-00006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H53" authorId="0" shapeId="0" xr:uid="{00000000-0006-0000-3B00-00006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G54" authorId="0" shapeId="0" xr:uid="{00000000-0006-0000-3B00-00006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34 % lost</t>
        </r>
      </text>
    </comment>
    <comment ref="F56" authorId="0" shapeId="0" xr:uid="{00000000-0006-0000-3B00-00006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</t>
        </r>
      </text>
    </comment>
    <comment ref="I56" authorId="0" shapeId="0" xr:uid="{00000000-0006-0000-3B00-00006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36 % recovered</t>
        </r>
      </text>
    </comment>
    <comment ref="I57" authorId="0" shapeId="0" xr:uid="{00000000-0006-0000-3B00-00006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63 % lost</t>
        </r>
      </text>
    </comment>
    <comment ref="B60" authorId="0" shapeId="0" xr:uid="{00000000-0006-0000-3B00-00006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C60" authorId="0" shapeId="0" xr:uid="{00000000-0006-0000-3B00-00006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D60" authorId="0" shapeId="0" xr:uid="{00000000-0006-0000-3B00-00006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B61" authorId="0" shapeId="0" xr:uid="{00000000-0006-0000-3B00-00006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C61" authorId="0" shapeId="0" xr:uid="{00000000-0006-0000-3B00-00006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E61" authorId="0" shapeId="0" xr:uid="{00000000-0006-0000-3B00-00007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</t>
        </r>
      </text>
    </comment>
    <comment ref="G61" authorId="0" shapeId="0" xr:uid="{00000000-0006-0000-3B00-00007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C4" authorId="0" shapeId="0" xr:uid="{00000000-0006-0000-3C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701</t>
        </r>
      </text>
    </comment>
    <comment ref="D4" authorId="0" shapeId="0" xr:uid="{00000000-0006-0000-3C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785</t>
        </r>
      </text>
    </comment>
    <comment ref="E4" authorId="0" shapeId="0" xr:uid="{00000000-0006-0000-3C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835</t>
        </r>
      </text>
    </comment>
    <comment ref="G4" authorId="0" shapeId="0" xr:uid="{00000000-0006-0000-3C00-00000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759</t>
        </r>
      </text>
    </comment>
    <comment ref="F5" authorId="0" shapeId="0" xr:uid="{00000000-0006-0000-3C00-00000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24.89 %
recovered: 29.65 %</t>
        </r>
      </text>
    </comment>
    <comment ref="G5" authorId="0" shapeId="0" xr:uid="{00000000-0006-0000-3C00-00000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20.28 %
recovered: 31.11 %</t>
        </r>
      </text>
    </comment>
    <comment ref="H5" authorId="0" shapeId="0" xr:uid="{00000000-0006-0000-3C00-00000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25.35 %
recovered: 39.24</t>
        </r>
      </text>
    </comment>
    <comment ref="I5" authorId="0" shapeId="0" xr:uid="{00000000-0006-0000-3C00-00000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20 %
recovered: 26.32 %</t>
        </r>
      </text>
    </comment>
    <comment ref="B7" authorId="0" shapeId="0" xr:uid="{00000000-0006-0000-3C00-00000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E7" authorId="0" shapeId="0" xr:uid="{00000000-0006-0000-3C00-00000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F9" authorId="0" shapeId="0" xr:uid="{00000000-0006-0000-3C00-00000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24.65 % recovered</t>
        </r>
      </text>
    </comment>
    <comment ref="G9" authorId="0" shapeId="0" xr:uid="{00000000-0006-0000-3C00-00000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48.82 % recovered</t>
        </r>
      </text>
    </comment>
    <comment ref="H10" authorId="0" shapeId="0" xr:uid="{00000000-0006-0000-3C00-00000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27.71 % recovered data</t>
        </r>
      </text>
    </comment>
    <comment ref="B11" authorId="0" shapeId="0" xr:uid="{00000000-0006-0000-3C00-00000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 
</t>
        </r>
      </text>
    </comment>
    <comment ref="D11" authorId="0" shapeId="0" xr:uid="{00000000-0006-0000-3C00-00000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74 % lost</t>
        </r>
      </text>
    </comment>
    <comment ref="F11" authorId="0" shapeId="0" xr:uid="{00000000-0006-0000-3C00-00001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lost
27 % recovered</t>
        </r>
      </text>
    </comment>
    <comment ref="G11" authorId="0" shapeId="0" xr:uid="{00000000-0006-0000-3C00-00001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47 % lost
27 % recovered</t>
        </r>
      </text>
    </comment>
    <comment ref="H11" authorId="0" shapeId="0" xr:uid="{00000000-0006-0000-3C00-00001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
25 % recovered</t>
        </r>
      </text>
    </comment>
    <comment ref="I11" authorId="0" shapeId="0" xr:uid="{00000000-0006-0000-3C00-00001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88 % lost
2 % recovered</t>
        </r>
      </text>
    </comment>
    <comment ref="F12" authorId="0" shapeId="0" xr:uid="{00000000-0006-0000-3C00-00001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G12" authorId="0" shapeId="0" xr:uid="{00000000-0006-0000-3C00-00001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12" authorId="0" shapeId="0" xr:uid="{00000000-0006-0000-3C00-00001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I12" authorId="0" shapeId="0" xr:uid="{00000000-0006-0000-3C00-00001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C14" authorId="0" shapeId="0" xr:uid="{00000000-0006-0000-3C00-00001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E14" authorId="0" shapeId="0" xr:uid="{00000000-0006-0000-3C00-00001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F15" authorId="0" shapeId="0" xr:uid="{00000000-0006-0000-3C00-00001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data lost</t>
        </r>
      </text>
    </comment>
    <comment ref="B16" authorId="0" shapeId="0" xr:uid="{00000000-0006-0000-3C00-00001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recovered</t>
        </r>
      </text>
    </comment>
    <comment ref="C16" authorId="0" shapeId="0" xr:uid="{00000000-0006-0000-3C00-00001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D16" authorId="0" shapeId="0" xr:uid="{00000000-0006-0000-3C00-00001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16" authorId="0" shapeId="0" xr:uid="{00000000-0006-0000-3C00-00001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E17" authorId="0" shapeId="0" xr:uid="{00000000-0006-0000-3C00-00001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36 % recovered</t>
        </r>
      </text>
    </comment>
    <comment ref="F17" authorId="0" shapeId="0" xr:uid="{00000000-0006-0000-3C00-00002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lost</t>
        </r>
      </text>
    </comment>
    <comment ref="H18" authorId="0" shapeId="0" xr:uid="{00000000-0006-0000-3C00-00002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I22" authorId="0" shapeId="0" xr:uid="{00000000-0006-0000-3C00-00002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F23" authorId="0" shapeId="0" xr:uid="{00000000-0006-0000-3C00-00002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D24" authorId="0" shapeId="0" xr:uid="{00000000-0006-0000-3C00-00002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E24" authorId="0" shapeId="0" xr:uid="{00000000-0006-0000-3C00-00002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F25" authorId="0" shapeId="0" xr:uid="{00000000-0006-0000-3C00-00002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F26" authorId="0" shapeId="0" xr:uid="{00000000-0006-0000-3C00-00002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26" authorId="0" shapeId="0" xr:uid="{00000000-0006-0000-3C00-00002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50 % lost</t>
        </r>
      </text>
    </comment>
    <comment ref="I26" authorId="0" shapeId="0" xr:uid="{00000000-0006-0000-3C00-00002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E27" authorId="0" shapeId="0" xr:uid="{00000000-0006-0000-3C00-00002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H27" authorId="0" shapeId="0" xr:uid="{00000000-0006-0000-3C00-00002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43 % recovered</t>
        </r>
      </text>
    </comment>
    <comment ref="I27" authorId="0" shapeId="0" xr:uid="{00000000-0006-0000-3C00-00002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recovered</t>
        </r>
      </text>
    </comment>
    <comment ref="H30" authorId="0" shapeId="0" xr:uid="{00000000-0006-0000-3C00-00002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C34" authorId="0" shapeId="0" xr:uid="{00000000-0006-0000-3C00-00002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578</t>
        </r>
      </text>
    </comment>
    <comment ref="E34" authorId="0" shapeId="0" xr:uid="{00000000-0006-0000-3C00-00002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885</t>
        </r>
      </text>
    </comment>
    <comment ref="B35" authorId="0" shapeId="0" xr:uid="{00000000-0006-0000-3C00-00003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754</t>
        </r>
      </text>
    </comment>
    <comment ref="D35" authorId="0" shapeId="0" xr:uid="{00000000-0006-0000-3C00-00003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805</t>
        </r>
      </text>
    </comment>
    <comment ref="E35" authorId="0" shapeId="0" xr:uid="{00000000-0006-0000-3C00-00003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529</t>
        </r>
      </text>
    </comment>
    <comment ref="F35" authorId="0" shapeId="0" xr:uid="{00000000-0006-0000-3C00-00003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749</t>
        </r>
      </text>
    </comment>
    <comment ref="G35" authorId="0" shapeId="0" xr:uid="{00000000-0006-0000-3C00-00003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667</t>
        </r>
      </text>
    </comment>
    <comment ref="H35" authorId="0" shapeId="0" xr:uid="{00000000-0006-0000-3C00-00003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703</t>
        </r>
      </text>
    </comment>
    <comment ref="I35" authorId="0" shapeId="0" xr:uid="{00000000-0006-0000-3C00-00003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751</t>
        </r>
      </text>
    </comment>
    <comment ref="B36" authorId="0" shapeId="0" xr:uid="{00000000-0006-0000-3C00-00003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33.68 %
recovered: 34.38</t>
        </r>
      </text>
    </comment>
    <comment ref="C36" authorId="0" shapeId="0" xr:uid="{00000000-0006-0000-3C00-00003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28.82 % lost
27.50 % recovered</t>
        </r>
      </text>
    </comment>
    <comment ref="D36" authorId="0" shapeId="0" xr:uid="{00000000-0006-0000-3C00-00003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33.75 %
recovered: 18.19</t>
        </r>
      </text>
    </comment>
    <comment ref="E36" authorId="0" shapeId="0" xr:uid="{00000000-0006-0000-3C00-00003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29.36 % lost
29.17 % recovered</t>
        </r>
      </text>
    </comment>
    <comment ref="C38" authorId="0" shapeId="0" xr:uid="{00000000-0006-0000-3C00-00003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F38" authorId="0" shapeId="0" xr:uid="{00000000-0006-0000-3C00-00003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I39" authorId="0" shapeId="0" xr:uid="{00000000-0006-0000-3C00-00003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lost</t>
        </r>
      </text>
    </comment>
    <comment ref="B40" authorId="0" shapeId="0" xr:uid="{00000000-0006-0000-3C00-00003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40 %</t>
        </r>
      </text>
    </comment>
    <comment ref="C40" authorId="0" shapeId="0" xr:uid="{00000000-0006-0000-3C00-00003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57 %</t>
        </r>
      </text>
    </comment>
    <comment ref="D40" authorId="0" shapeId="0" xr:uid="{00000000-0006-0000-3C00-00004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62 %</t>
        </r>
      </text>
    </comment>
    <comment ref="E40" authorId="0" shapeId="0" xr:uid="{00000000-0006-0000-3C00-00004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55 %</t>
        </r>
      </text>
    </comment>
    <comment ref="G40" authorId="0" shapeId="0" xr:uid="{00000000-0006-0000-3C00-00004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27 %</t>
        </r>
      </text>
    </comment>
    <comment ref="I40" authorId="0" shapeId="0" xr:uid="{00000000-0006-0000-3C00-00004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48 %</t>
        </r>
      </text>
    </comment>
    <comment ref="D41" authorId="0" shapeId="0" xr:uid="{00000000-0006-0000-3C00-00004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44 % lost
</t>
        </r>
      </text>
    </comment>
    <comment ref="E41" authorId="0" shapeId="0" xr:uid="{00000000-0006-0000-3C00-00004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11.32 % lost</t>
        </r>
      </text>
    </comment>
    <comment ref="F41" authorId="0" shapeId="0" xr:uid="{00000000-0006-0000-3C00-00004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G41" authorId="0" shapeId="0" xr:uid="{00000000-0006-0000-3C00-00004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29.79 % recovered</t>
        </r>
      </text>
    </comment>
    <comment ref="H41" authorId="0" shapeId="0" xr:uid="{00000000-0006-0000-3C00-00004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lost
</t>
        </r>
      </text>
    </comment>
    <comment ref="I41" authorId="0" shapeId="0" xr:uid="{00000000-0006-0000-3C00-00004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33 % recovered</t>
        </r>
      </text>
    </comment>
    <comment ref="C42" authorId="0" shapeId="0" xr:uid="{00000000-0006-0000-3C00-00004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45 % recovered</t>
        </r>
      </text>
    </comment>
    <comment ref="D42" authorId="0" shapeId="0" xr:uid="{00000000-0006-0000-3C00-00004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29 % recovered</t>
        </r>
      </text>
    </comment>
    <comment ref="G42" authorId="0" shapeId="0" xr:uid="{00000000-0006-0000-3C00-00004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
</t>
        </r>
      </text>
    </comment>
    <comment ref="H42" authorId="0" shapeId="0" xr:uid="{00000000-0006-0000-3C00-00004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
</t>
        </r>
      </text>
    </comment>
    <comment ref="F43" authorId="0" shapeId="0" xr:uid="{00000000-0006-0000-3C00-00004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lost, 22 % recovered</t>
        </r>
      </text>
    </comment>
    <comment ref="G43" authorId="0" shapeId="0" xr:uid="{00000000-0006-0000-3C00-00004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H43" authorId="0" shapeId="0" xr:uid="{00000000-0006-0000-3C00-00005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lost </t>
        </r>
      </text>
    </comment>
    <comment ref="I43" authorId="0" shapeId="0" xr:uid="{00000000-0006-0000-3C00-00005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27 % recovered</t>
        </r>
      </text>
    </comment>
    <comment ref="E45" authorId="0" shapeId="0" xr:uid="{00000000-0006-0000-3C00-00005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unable to wear activity monitor</t>
        </r>
      </text>
    </comment>
    <comment ref="C46" authorId="0" shapeId="0" xr:uid="{00000000-0006-0000-3C00-00005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data recovered</t>
        </r>
      </text>
    </comment>
    <comment ref="D46" authorId="0" shapeId="0" xr:uid="{00000000-0006-0000-3C00-00005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data recovered</t>
        </r>
      </text>
    </comment>
    <comment ref="E46" authorId="0" shapeId="0" xr:uid="{00000000-0006-0000-3C00-00005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data recovered</t>
        </r>
      </text>
    </comment>
    <comment ref="B47" authorId="0" shapeId="0" xr:uid="{00000000-0006-0000-3C00-00005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recovered</t>
        </r>
      </text>
    </comment>
    <comment ref="C47" authorId="0" shapeId="0" xr:uid="{00000000-0006-0000-3C00-00005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58 % recovered</t>
        </r>
      </text>
    </comment>
    <comment ref="D47" authorId="0" shapeId="0" xr:uid="{00000000-0006-0000-3C00-00005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47" authorId="0" shapeId="0" xr:uid="{00000000-0006-0000-3C00-00005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0" shapeId="0" xr:uid="{00000000-0006-0000-3C00-00005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C49" authorId="0" shapeId="0" xr:uid="{00000000-0006-0000-3C00-00005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48 % recovered</t>
        </r>
      </text>
    </comment>
    <comment ref="D49" authorId="0" shapeId="0" xr:uid="{00000000-0006-0000-3C00-00005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  <comment ref="I49" authorId="0" shapeId="0" xr:uid="{00000000-0006-0000-3C00-00005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23 % lost</t>
        </r>
      </text>
    </comment>
    <comment ref="H50" authorId="0" shapeId="0" xr:uid="{00000000-0006-0000-3C00-00005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I50" authorId="0" shapeId="0" xr:uid="{00000000-0006-0000-3C00-00005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H52" authorId="0" shapeId="0" xr:uid="{00000000-0006-0000-3C00-00006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32 % recovered</t>
        </r>
      </text>
    </comment>
    <comment ref="I52" authorId="0" shapeId="0" xr:uid="{00000000-0006-0000-3C00-00006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recovered</t>
        </r>
      </text>
    </comment>
    <comment ref="C53" authorId="0" shapeId="0" xr:uid="{00000000-0006-0000-3C00-00006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recovered</t>
        </r>
      </text>
    </comment>
    <comment ref="E53" authorId="0" shapeId="0" xr:uid="{00000000-0006-0000-3C00-00006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H53" authorId="0" shapeId="0" xr:uid="{00000000-0006-0000-3C00-00006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G54" authorId="0" shapeId="0" xr:uid="{00000000-0006-0000-3C00-00006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34 % lost</t>
        </r>
      </text>
    </comment>
    <comment ref="F56" authorId="0" shapeId="0" xr:uid="{00000000-0006-0000-3C00-00006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</t>
        </r>
      </text>
    </comment>
    <comment ref="I56" authorId="0" shapeId="0" xr:uid="{00000000-0006-0000-3C00-00006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36 % recovered</t>
        </r>
      </text>
    </comment>
    <comment ref="I57" authorId="0" shapeId="0" xr:uid="{00000000-0006-0000-3C00-00006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63 % lost</t>
        </r>
      </text>
    </comment>
    <comment ref="B60" authorId="0" shapeId="0" xr:uid="{00000000-0006-0000-3C00-00006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C60" authorId="0" shapeId="0" xr:uid="{00000000-0006-0000-3C00-00006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D60" authorId="0" shapeId="0" xr:uid="{00000000-0006-0000-3C00-00006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B61" authorId="0" shapeId="0" xr:uid="{00000000-0006-0000-3C00-00006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C61" authorId="0" shapeId="0" xr:uid="{00000000-0006-0000-3C00-00006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E61" authorId="0" shapeId="0" xr:uid="{00000000-0006-0000-3C00-00006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</t>
        </r>
      </text>
    </comment>
    <comment ref="G61" authorId="0" shapeId="0" xr:uid="{00000000-0006-0000-3C00-00006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C4" authorId="0" shapeId="0" xr:uid="{00000000-0006-0000-3D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188</t>
        </r>
      </text>
    </comment>
    <comment ref="D4" authorId="0" shapeId="0" xr:uid="{00000000-0006-0000-3D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154</t>
        </r>
      </text>
    </comment>
    <comment ref="E4" authorId="0" shapeId="0" xr:uid="{00000000-0006-0000-3D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106</t>
        </r>
      </text>
    </comment>
    <comment ref="G4" authorId="0" shapeId="0" xr:uid="{00000000-0006-0000-3D00-00000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140</t>
        </r>
      </text>
    </comment>
    <comment ref="F5" authorId="0" shapeId="0" xr:uid="{00000000-0006-0000-3D00-00000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24.89 %
recovered: 29.65 %</t>
        </r>
      </text>
    </comment>
    <comment ref="G5" authorId="0" shapeId="0" xr:uid="{00000000-0006-0000-3D00-00000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20.28 %
recovered: 31.11 %</t>
        </r>
      </text>
    </comment>
    <comment ref="H5" authorId="0" shapeId="0" xr:uid="{00000000-0006-0000-3D00-00000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25.35 %
recovered: 39.24</t>
        </r>
      </text>
    </comment>
    <comment ref="I5" authorId="0" shapeId="0" xr:uid="{00000000-0006-0000-3D00-00000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20 %
recovered: 26.32 %</t>
        </r>
      </text>
    </comment>
    <comment ref="B7" authorId="0" shapeId="0" xr:uid="{00000000-0006-0000-3D00-00000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E7" authorId="0" shapeId="0" xr:uid="{00000000-0006-0000-3D00-00000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F9" authorId="0" shapeId="0" xr:uid="{00000000-0006-0000-3D00-00000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24.65 % recovered</t>
        </r>
      </text>
    </comment>
    <comment ref="G9" authorId="0" shapeId="0" xr:uid="{00000000-0006-0000-3D00-00000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48.82 % recovered</t>
        </r>
      </text>
    </comment>
    <comment ref="H10" authorId="0" shapeId="0" xr:uid="{00000000-0006-0000-3D00-00000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27.71 % recovered data</t>
        </r>
      </text>
    </comment>
    <comment ref="B11" authorId="0" shapeId="0" xr:uid="{00000000-0006-0000-3D00-00000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 
</t>
        </r>
      </text>
    </comment>
    <comment ref="D11" authorId="0" shapeId="0" xr:uid="{00000000-0006-0000-3D00-00000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74 % lost</t>
        </r>
      </text>
    </comment>
    <comment ref="F11" authorId="0" shapeId="0" xr:uid="{00000000-0006-0000-3D00-00001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lost
27 % recovered</t>
        </r>
      </text>
    </comment>
    <comment ref="G11" authorId="0" shapeId="0" xr:uid="{00000000-0006-0000-3D00-00001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47 % lost
27 % recovered</t>
        </r>
      </text>
    </comment>
    <comment ref="H11" authorId="0" shapeId="0" xr:uid="{00000000-0006-0000-3D00-00001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
25 % recovered</t>
        </r>
      </text>
    </comment>
    <comment ref="I11" authorId="0" shapeId="0" xr:uid="{00000000-0006-0000-3D00-00001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88 % lost
2 % recovered</t>
        </r>
      </text>
    </comment>
    <comment ref="F12" authorId="0" shapeId="0" xr:uid="{00000000-0006-0000-3D00-00001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G12" authorId="0" shapeId="0" xr:uid="{00000000-0006-0000-3D00-00001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12" authorId="0" shapeId="0" xr:uid="{00000000-0006-0000-3D00-00001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I12" authorId="0" shapeId="0" xr:uid="{00000000-0006-0000-3D00-00001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C14" authorId="0" shapeId="0" xr:uid="{00000000-0006-0000-3D00-00001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E14" authorId="0" shapeId="0" xr:uid="{00000000-0006-0000-3D00-00001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F15" authorId="0" shapeId="0" xr:uid="{00000000-0006-0000-3D00-00001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data lost</t>
        </r>
      </text>
    </comment>
    <comment ref="B16" authorId="0" shapeId="0" xr:uid="{00000000-0006-0000-3D00-00001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recovered</t>
        </r>
      </text>
    </comment>
    <comment ref="C16" authorId="0" shapeId="0" xr:uid="{00000000-0006-0000-3D00-00001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D16" authorId="0" shapeId="0" xr:uid="{00000000-0006-0000-3D00-00001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16" authorId="0" shapeId="0" xr:uid="{00000000-0006-0000-3D00-00001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E17" authorId="0" shapeId="0" xr:uid="{00000000-0006-0000-3D00-00001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36 % recovered</t>
        </r>
      </text>
    </comment>
    <comment ref="F17" authorId="0" shapeId="0" xr:uid="{00000000-0006-0000-3D00-00002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lost</t>
        </r>
      </text>
    </comment>
    <comment ref="H18" authorId="0" shapeId="0" xr:uid="{00000000-0006-0000-3D00-00002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I22" authorId="0" shapeId="0" xr:uid="{00000000-0006-0000-3D00-00002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F23" authorId="0" shapeId="0" xr:uid="{00000000-0006-0000-3D00-00002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D24" authorId="0" shapeId="0" xr:uid="{00000000-0006-0000-3D00-00002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E24" authorId="0" shapeId="0" xr:uid="{00000000-0006-0000-3D00-00002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F25" authorId="0" shapeId="0" xr:uid="{00000000-0006-0000-3D00-00002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F26" authorId="0" shapeId="0" xr:uid="{00000000-0006-0000-3D00-00002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26" authorId="0" shapeId="0" xr:uid="{00000000-0006-0000-3D00-00002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50 % lost</t>
        </r>
      </text>
    </comment>
    <comment ref="I26" authorId="0" shapeId="0" xr:uid="{00000000-0006-0000-3D00-00002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E27" authorId="0" shapeId="0" xr:uid="{00000000-0006-0000-3D00-00002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H27" authorId="0" shapeId="0" xr:uid="{00000000-0006-0000-3D00-00002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43 % recovered</t>
        </r>
      </text>
    </comment>
    <comment ref="I27" authorId="0" shapeId="0" xr:uid="{00000000-0006-0000-3D00-00002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recovered</t>
        </r>
      </text>
    </comment>
    <comment ref="H30" authorId="0" shapeId="0" xr:uid="{00000000-0006-0000-3D00-00002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C34" authorId="0" shapeId="0" xr:uid="{00000000-0006-0000-3D00-00002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319 min</t>
        </r>
      </text>
    </comment>
    <comment ref="E34" authorId="0" shapeId="0" xr:uid="{00000000-0006-0000-3D00-00002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68 min</t>
        </r>
      </text>
    </comment>
    <comment ref="B35" authorId="0" shapeId="0" xr:uid="{00000000-0006-0000-3D00-00003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190</t>
        </r>
      </text>
    </comment>
    <comment ref="D35" authorId="0" shapeId="0" xr:uid="{00000000-0006-0000-3D00-00003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120</t>
        </r>
      </text>
    </comment>
    <comment ref="E35" authorId="0" shapeId="0" xr:uid="{00000000-0006-0000-3D00-00003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308</t>
        </r>
      </text>
    </comment>
    <comment ref="F35" authorId="0" shapeId="0" xr:uid="{00000000-0006-0000-3D00-00003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171</t>
        </r>
      </text>
    </comment>
    <comment ref="G35" authorId="0" shapeId="0" xr:uid="{00000000-0006-0000-3D00-00003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235</t>
        </r>
      </text>
    </comment>
    <comment ref="H35" authorId="0" shapeId="0" xr:uid="{00000000-0006-0000-3D00-00003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213</t>
        </r>
      </text>
    </comment>
    <comment ref="I35" authorId="0" shapeId="0" xr:uid="{00000000-0006-0000-3D00-00003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150</t>
        </r>
      </text>
    </comment>
    <comment ref="B36" authorId="0" shapeId="0" xr:uid="{00000000-0006-0000-3D00-00003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33.68 %
recovered: 34.38</t>
        </r>
      </text>
    </comment>
    <comment ref="C36" authorId="0" shapeId="0" xr:uid="{00000000-0006-0000-3D00-00003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28.82 % lost
27.50 % recovered</t>
        </r>
      </text>
    </comment>
    <comment ref="D36" authorId="0" shapeId="0" xr:uid="{00000000-0006-0000-3D00-00003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33.75 %
recovered: 18.19</t>
        </r>
      </text>
    </comment>
    <comment ref="E36" authorId="0" shapeId="0" xr:uid="{00000000-0006-0000-3D00-00003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29.36 % lost
29.17 % recovered</t>
        </r>
      </text>
    </comment>
    <comment ref="C38" authorId="0" shapeId="0" xr:uid="{00000000-0006-0000-3D00-00003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F38" authorId="0" shapeId="0" xr:uid="{00000000-0006-0000-3D00-00003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I39" authorId="0" shapeId="0" xr:uid="{00000000-0006-0000-3D00-00003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lost</t>
        </r>
      </text>
    </comment>
    <comment ref="B40" authorId="0" shapeId="0" xr:uid="{00000000-0006-0000-3D00-00003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40 %</t>
        </r>
      </text>
    </comment>
    <comment ref="C40" authorId="0" shapeId="0" xr:uid="{00000000-0006-0000-3D00-00003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57 %</t>
        </r>
      </text>
    </comment>
    <comment ref="D40" authorId="0" shapeId="0" xr:uid="{00000000-0006-0000-3D00-00004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62 %</t>
        </r>
      </text>
    </comment>
    <comment ref="E40" authorId="0" shapeId="0" xr:uid="{00000000-0006-0000-3D00-00004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55 %</t>
        </r>
      </text>
    </comment>
    <comment ref="G40" authorId="0" shapeId="0" xr:uid="{00000000-0006-0000-3D00-00004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27 %</t>
        </r>
      </text>
    </comment>
    <comment ref="I40" authorId="0" shapeId="0" xr:uid="{00000000-0006-0000-3D00-00004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48 %</t>
        </r>
      </text>
    </comment>
    <comment ref="D41" authorId="0" shapeId="0" xr:uid="{00000000-0006-0000-3D00-00004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44 % lost
</t>
        </r>
      </text>
    </comment>
    <comment ref="E41" authorId="0" shapeId="0" xr:uid="{00000000-0006-0000-3D00-00004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11.32 % lost</t>
        </r>
      </text>
    </comment>
    <comment ref="F41" authorId="0" shapeId="0" xr:uid="{00000000-0006-0000-3D00-00004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G41" authorId="0" shapeId="0" xr:uid="{00000000-0006-0000-3D00-00004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29.79 % recovered</t>
        </r>
      </text>
    </comment>
    <comment ref="H41" authorId="0" shapeId="0" xr:uid="{00000000-0006-0000-3D00-00004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lost
</t>
        </r>
      </text>
    </comment>
    <comment ref="I41" authorId="0" shapeId="0" xr:uid="{00000000-0006-0000-3D00-00004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33 % recovered</t>
        </r>
      </text>
    </comment>
    <comment ref="C42" authorId="0" shapeId="0" xr:uid="{00000000-0006-0000-3D00-00004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45 % recovered</t>
        </r>
      </text>
    </comment>
    <comment ref="D42" authorId="0" shapeId="0" xr:uid="{00000000-0006-0000-3D00-00004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29 % recovered</t>
        </r>
      </text>
    </comment>
    <comment ref="G42" authorId="0" shapeId="0" xr:uid="{00000000-0006-0000-3D00-00004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
</t>
        </r>
      </text>
    </comment>
    <comment ref="H42" authorId="0" shapeId="0" xr:uid="{00000000-0006-0000-3D00-00004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
</t>
        </r>
      </text>
    </comment>
    <comment ref="F43" authorId="0" shapeId="0" xr:uid="{00000000-0006-0000-3D00-00004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lost, 22 % recovered</t>
        </r>
      </text>
    </comment>
    <comment ref="G43" authorId="0" shapeId="0" xr:uid="{00000000-0006-0000-3D00-00004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H43" authorId="0" shapeId="0" xr:uid="{00000000-0006-0000-3D00-00005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lost </t>
        </r>
      </text>
    </comment>
    <comment ref="I43" authorId="0" shapeId="0" xr:uid="{00000000-0006-0000-3D00-00005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27 % recovered</t>
        </r>
      </text>
    </comment>
    <comment ref="E45" authorId="0" shapeId="0" xr:uid="{00000000-0006-0000-3D00-00005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unable to wear activity monitor</t>
        </r>
      </text>
    </comment>
    <comment ref="C46" authorId="0" shapeId="0" xr:uid="{00000000-0006-0000-3D00-00005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data recovered</t>
        </r>
      </text>
    </comment>
    <comment ref="D46" authorId="0" shapeId="0" xr:uid="{00000000-0006-0000-3D00-00005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data recovered</t>
        </r>
      </text>
    </comment>
    <comment ref="E46" authorId="0" shapeId="0" xr:uid="{00000000-0006-0000-3D00-00005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data recovered</t>
        </r>
      </text>
    </comment>
    <comment ref="B47" authorId="0" shapeId="0" xr:uid="{00000000-0006-0000-3D00-00005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recovered</t>
        </r>
      </text>
    </comment>
    <comment ref="C47" authorId="0" shapeId="0" xr:uid="{00000000-0006-0000-3D00-00005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58 % recovered</t>
        </r>
      </text>
    </comment>
    <comment ref="D47" authorId="0" shapeId="0" xr:uid="{00000000-0006-0000-3D00-00005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47" authorId="0" shapeId="0" xr:uid="{00000000-0006-0000-3D00-00005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0" shapeId="0" xr:uid="{00000000-0006-0000-3D00-00005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C49" authorId="0" shapeId="0" xr:uid="{00000000-0006-0000-3D00-00005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48 % recovered</t>
        </r>
      </text>
    </comment>
    <comment ref="D49" authorId="0" shapeId="0" xr:uid="{00000000-0006-0000-3D00-00005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  <comment ref="I49" authorId="0" shapeId="0" xr:uid="{00000000-0006-0000-3D00-00005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23 % lost</t>
        </r>
      </text>
    </comment>
    <comment ref="H50" authorId="0" shapeId="0" xr:uid="{00000000-0006-0000-3D00-00005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I50" authorId="0" shapeId="0" xr:uid="{00000000-0006-0000-3D00-00005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H52" authorId="0" shapeId="0" xr:uid="{00000000-0006-0000-3D00-00006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32 % recovered</t>
        </r>
      </text>
    </comment>
    <comment ref="I52" authorId="0" shapeId="0" xr:uid="{00000000-0006-0000-3D00-00006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recovered</t>
        </r>
      </text>
    </comment>
    <comment ref="C53" authorId="0" shapeId="0" xr:uid="{00000000-0006-0000-3D00-00006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recovered</t>
        </r>
      </text>
    </comment>
    <comment ref="E53" authorId="0" shapeId="0" xr:uid="{00000000-0006-0000-3D00-00006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H53" authorId="0" shapeId="0" xr:uid="{00000000-0006-0000-3D00-00006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G54" authorId="0" shapeId="0" xr:uid="{00000000-0006-0000-3D00-00006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34 % lost</t>
        </r>
      </text>
    </comment>
    <comment ref="F56" authorId="0" shapeId="0" xr:uid="{00000000-0006-0000-3D00-00006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</t>
        </r>
      </text>
    </comment>
    <comment ref="I56" authorId="0" shapeId="0" xr:uid="{00000000-0006-0000-3D00-00006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36 % recovered</t>
        </r>
      </text>
    </comment>
    <comment ref="I57" authorId="0" shapeId="0" xr:uid="{00000000-0006-0000-3D00-00006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63 % lost</t>
        </r>
      </text>
    </comment>
    <comment ref="B60" authorId="0" shapeId="0" xr:uid="{00000000-0006-0000-3D00-00006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C60" authorId="0" shapeId="0" xr:uid="{00000000-0006-0000-3D00-00006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D60" authorId="0" shapeId="0" xr:uid="{00000000-0006-0000-3D00-00006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B61" authorId="0" shapeId="0" xr:uid="{00000000-0006-0000-3D00-00006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C61" authorId="0" shapeId="0" xr:uid="{00000000-0006-0000-3D00-00006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E61" authorId="0" shapeId="0" xr:uid="{00000000-0006-0000-3D00-00006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</t>
        </r>
      </text>
    </comment>
    <comment ref="G61" authorId="0" shapeId="0" xr:uid="{00000000-0006-0000-3D00-00006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C4" authorId="0" shapeId="0" xr:uid="{00000000-0006-0000-3E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68</t>
        </r>
      </text>
    </comment>
    <comment ref="D4" authorId="0" shapeId="0" xr:uid="{00000000-0006-0000-3E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21</t>
        </r>
      </text>
    </comment>
    <comment ref="E4" authorId="0" shapeId="0" xr:uid="{00000000-0006-0000-3E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19</t>
        </r>
      </text>
    </comment>
    <comment ref="G4" authorId="0" shapeId="0" xr:uid="{00000000-0006-0000-3E00-00000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55</t>
        </r>
      </text>
    </comment>
    <comment ref="F5" authorId="0" shapeId="0" xr:uid="{00000000-0006-0000-3E00-00000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24.89 %
recovered: 29.65 %</t>
        </r>
      </text>
    </comment>
    <comment ref="G5" authorId="0" shapeId="0" xr:uid="{00000000-0006-0000-3E00-00000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20.28 %
recovered: 31.11 %</t>
        </r>
      </text>
    </comment>
    <comment ref="H5" authorId="0" shapeId="0" xr:uid="{00000000-0006-0000-3E00-00000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25.35 %
recovered: 39.24</t>
        </r>
      </text>
    </comment>
    <comment ref="I5" authorId="0" shapeId="0" xr:uid="{00000000-0006-0000-3E00-00000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20 %
recovered: 26.32 %</t>
        </r>
      </text>
    </comment>
    <comment ref="B7" authorId="0" shapeId="0" xr:uid="{00000000-0006-0000-3E00-00000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E7" authorId="0" shapeId="0" xr:uid="{00000000-0006-0000-3E00-00000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F9" authorId="0" shapeId="0" xr:uid="{00000000-0006-0000-3E00-00000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24.65 % recovered</t>
        </r>
      </text>
    </comment>
    <comment ref="G9" authorId="0" shapeId="0" xr:uid="{00000000-0006-0000-3E00-00000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48.82 % recovered</t>
        </r>
      </text>
    </comment>
    <comment ref="H10" authorId="0" shapeId="0" xr:uid="{00000000-0006-0000-3E00-00000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27.71 % recovered data</t>
        </r>
      </text>
    </comment>
    <comment ref="B11" authorId="0" shapeId="0" xr:uid="{00000000-0006-0000-3E00-00000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 
</t>
        </r>
      </text>
    </comment>
    <comment ref="D11" authorId="0" shapeId="0" xr:uid="{00000000-0006-0000-3E00-00000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74 % lost</t>
        </r>
      </text>
    </comment>
    <comment ref="F11" authorId="0" shapeId="0" xr:uid="{00000000-0006-0000-3E00-00001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lost
27 % recovered</t>
        </r>
      </text>
    </comment>
    <comment ref="G11" authorId="0" shapeId="0" xr:uid="{00000000-0006-0000-3E00-00001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47 % lost
27 % recovered</t>
        </r>
      </text>
    </comment>
    <comment ref="H11" authorId="0" shapeId="0" xr:uid="{00000000-0006-0000-3E00-00001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
25 % recovered</t>
        </r>
      </text>
    </comment>
    <comment ref="I11" authorId="0" shapeId="0" xr:uid="{00000000-0006-0000-3E00-00001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88 % lost
2 % recovered</t>
        </r>
      </text>
    </comment>
    <comment ref="F12" authorId="0" shapeId="0" xr:uid="{00000000-0006-0000-3E00-00001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G12" authorId="0" shapeId="0" xr:uid="{00000000-0006-0000-3E00-00001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12" authorId="0" shapeId="0" xr:uid="{00000000-0006-0000-3E00-00001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I12" authorId="0" shapeId="0" xr:uid="{00000000-0006-0000-3E00-00001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C14" authorId="0" shapeId="0" xr:uid="{00000000-0006-0000-3E00-00001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E14" authorId="0" shapeId="0" xr:uid="{00000000-0006-0000-3E00-00001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F15" authorId="0" shapeId="0" xr:uid="{00000000-0006-0000-3E00-00001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data lost</t>
        </r>
      </text>
    </comment>
    <comment ref="B16" authorId="0" shapeId="0" xr:uid="{00000000-0006-0000-3E00-00001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recovered</t>
        </r>
      </text>
    </comment>
    <comment ref="C16" authorId="0" shapeId="0" xr:uid="{00000000-0006-0000-3E00-00001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D16" authorId="0" shapeId="0" xr:uid="{00000000-0006-0000-3E00-00001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16" authorId="0" shapeId="0" xr:uid="{00000000-0006-0000-3E00-00001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E17" authorId="0" shapeId="0" xr:uid="{00000000-0006-0000-3E00-00001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36 % recovered</t>
        </r>
      </text>
    </comment>
    <comment ref="F17" authorId="0" shapeId="0" xr:uid="{00000000-0006-0000-3E00-00002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lost</t>
        </r>
      </text>
    </comment>
    <comment ref="H18" authorId="0" shapeId="0" xr:uid="{00000000-0006-0000-3E00-00002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I22" authorId="0" shapeId="0" xr:uid="{00000000-0006-0000-3E00-00002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F23" authorId="0" shapeId="0" xr:uid="{00000000-0006-0000-3E00-00002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D24" authorId="0" shapeId="0" xr:uid="{00000000-0006-0000-3E00-00002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E24" authorId="0" shapeId="0" xr:uid="{00000000-0006-0000-3E00-00002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F25" authorId="0" shapeId="0" xr:uid="{00000000-0006-0000-3E00-00002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F26" authorId="0" shapeId="0" xr:uid="{00000000-0006-0000-3E00-00002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26" authorId="0" shapeId="0" xr:uid="{00000000-0006-0000-3E00-00002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50 % lost</t>
        </r>
      </text>
    </comment>
    <comment ref="I26" authorId="0" shapeId="0" xr:uid="{00000000-0006-0000-3E00-00002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E27" authorId="0" shapeId="0" xr:uid="{00000000-0006-0000-3E00-00002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H27" authorId="0" shapeId="0" xr:uid="{00000000-0006-0000-3E00-00002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43 % recovered</t>
        </r>
      </text>
    </comment>
    <comment ref="I27" authorId="0" shapeId="0" xr:uid="{00000000-0006-0000-3E00-00002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recovered</t>
        </r>
      </text>
    </comment>
    <comment ref="H30" authorId="0" shapeId="0" xr:uid="{00000000-0006-0000-3E00-00002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C34" authorId="0" shapeId="0" xr:uid="{00000000-0006-0000-3E00-00002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57 min
</t>
        </r>
      </text>
    </comment>
    <comment ref="E34" authorId="0" shapeId="0" xr:uid="{00000000-0006-0000-3E00-00002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 min</t>
        </r>
      </text>
    </comment>
    <comment ref="B35" authorId="0" shapeId="0" xr:uid="{00000000-0006-0000-3E00-00003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16</t>
        </r>
      </text>
    </comment>
    <comment ref="D35" authorId="0" shapeId="0" xr:uid="{00000000-0006-0000-3E00-00003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</t>
        </r>
      </text>
    </comment>
    <comment ref="E35" authorId="0" shapeId="0" xr:uid="{00000000-0006-0000-3E00-00003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123</t>
        </r>
      </text>
    </comment>
    <comment ref="F35" authorId="0" shapeId="0" xr:uid="{00000000-0006-0000-3E00-00003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40</t>
        </r>
      </text>
    </comment>
    <comment ref="G35" authorId="0" shapeId="0" xr:uid="{00000000-0006-0000-3E00-00003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57</t>
        </r>
      </text>
    </comment>
    <comment ref="H35" authorId="0" shapeId="0" xr:uid="{00000000-0006-0000-3E00-00003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44</t>
        </r>
      </text>
    </comment>
    <comment ref="I35" authorId="0" shapeId="0" xr:uid="{00000000-0006-0000-3E00-00003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59</t>
        </r>
      </text>
    </comment>
    <comment ref="B36" authorId="0" shapeId="0" xr:uid="{00000000-0006-0000-3E00-00003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33.68 %
recovered: 34.38</t>
        </r>
      </text>
    </comment>
    <comment ref="C36" authorId="0" shapeId="0" xr:uid="{00000000-0006-0000-3E00-00003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28.82 % lost
27.50 % recovered</t>
        </r>
      </text>
    </comment>
    <comment ref="D36" authorId="0" shapeId="0" xr:uid="{00000000-0006-0000-3E00-00003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33.75 %
recovered: 18.19</t>
        </r>
      </text>
    </comment>
    <comment ref="E36" authorId="0" shapeId="0" xr:uid="{00000000-0006-0000-3E00-00003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29.36 % lost
29.17 % recovered</t>
        </r>
      </text>
    </comment>
    <comment ref="C38" authorId="0" shapeId="0" xr:uid="{00000000-0006-0000-3E00-00003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F38" authorId="0" shapeId="0" xr:uid="{00000000-0006-0000-3E00-00003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I39" authorId="0" shapeId="0" xr:uid="{00000000-0006-0000-3E00-00003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lost</t>
        </r>
      </text>
    </comment>
    <comment ref="B40" authorId="0" shapeId="0" xr:uid="{00000000-0006-0000-3E00-00003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40 %</t>
        </r>
      </text>
    </comment>
    <comment ref="C40" authorId="0" shapeId="0" xr:uid="{00000000-0006-0000-3E00-00003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57 %</t>
        </r>
      </text>
    </comment>
    <comment ref="D40" authorId="0" shapeId="0" xr:uid="{00000000-0006-0000-3E00-00004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62 %</t>
        </r>
      </text>
    </comment>
    <comment ref="E40" authorId="0" shapeId="0" xr:uid="{00000000-0006-0000-3E00-00004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55 %</t>
        </r>
      </text>
    </comment>
    <comment ref="G40" authorId="0" shapeId="0" xr:uid="{00000000-0006-0000-3E00-00004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27 %</t>
        </r>
      </text>
    </comment>
    <comment ref="I40" authorId="0" shapeId="0" xr:uid="{00000000-0006-0000-3E00-00004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48 %</t>
        </r>
      </text>
    </comment>
    <comment ref="D41" authorId="0" shapeId="0" xr:uid="{00000000-0006-0000-3E00-00004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44 % lost
</t>
        </r>
      </text>
    </comment>
    <comment ref="E41" authorId="0" shapeId="0" xr:uid="{00000000-0006-0000-3E00-00004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11.32 % lost</t>
        </r>
      </text>
    </comment>
    <comment ref="F41" authorId="0" shapeId="0" xr:uid="{00000000-0006-0000-3E00-00004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G41" authorId="0" shapeId="0" xr:uid="{00000000-0006-0000-3E00-00004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29.79 % recovered</t>
        </r>
      </text>
    </comment>
    <comment ref="H41" authorId="0" shapeId="0" xr:uid="{00000000-0006-0000-3E00-00004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lost
</t>
        </r>
      </text>
    </comment>
    <comment ref="I41" authorId="0" shapeId="0" xr:uid="{00000000-0006-0000-3E00-00004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33 % recovered</t>
        </r>
      </text>
    </comment>
    <comment ref="C42" authorId="0" shapeId="0" xr:uid="{00000000-0006-0000-3E00-00004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45 % recovered</t>
        </r>
      </text>
    </comment>
    <comment ref="D42" authorId="0" shapeId="0" xr:uid="{00000000-0006-0000-3E00-00004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29 % recovered</t>
        </r>
      </text>
    </comment>
    <comment ref="G42" authorId="0" shapeId="0" xr:uid="{00000000-0006-0000-3E00-00004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
</t>
        </r>
      </text>
    </comment>
    <comment ref="H42" authorId="0" shapeId="0" xr:uid="{00000000-0006-0000-3E00-00004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
</t>
        </r>
      </text>
    </comment>
    <comment ref="F43" authorId="0" shapeId="0" xr:uid="{00000000-0006-0000-3E00-00004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lost, 22 % recovered</t>
        </r>
      </text>
    </comment>
    <comment ref="G43" authorId="0" shapeId="0" xr:uid="{00000000-0006-0000-3E00-00004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H43" authorId="0" shapeId="0" xr:uid="{00000000-0006-0000-3E00-00005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lost </t>
        </r>
      </text>
    </comment>
    <comment ref="I43" authorId="0" shapeId="0" xr:uid="{00000000-0006-0000-3E00-00005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27 % recovered</t>
        </r>
      </text>
    </comment>
    <comment ref="E45" authorId="0" shapeId="0" xr:uid="{00000000-0006-0000-3E00-00005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unable to wear activity monitor</t>
        </r>
      </text>
    </comment>
    <comment ref="C46" authorId="0" shapeId="0" xr:uid="{00000000-0006-0000-3E00-00005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data recovered</t>
        </r>
      </text>
    </comment>
    <comment ref="D46" authorId="0" shapeId="0" xr:uid="{00000000-0006-0000-3E00-00005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data recovered</t>
        </r>
      </text>
    </comment>
    <comment ref="E46" authorId="0" shapeId="0" xr:uid="{00000000-0006-0000-3E00-00005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data recovered</t>
        </r>
      </text>
    </comment>
    <comment ref="B47" authorId="0" shapeId="0" xr:uid="{00000000-0006-0000-3E00-00005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recovered</t>
        </r>
      </text>
    </comment>
    <comment ref="C47" authorId="0" shapeId="0" xr:uid="{00000000-0006-0000-3E00-00005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58 % recovered</t>
        </r>
      </text>
    </comment>
    <comment ref="D47" authorId="0" shapeId="0" xr:uid="{00000000-0006-0000-3E00-00005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47" authorId="0" shapeId="0" xr:uid="{00000000-0006-0000-3E00-00005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0" shapeId="0" xr:uid="{00000000-0006-0000-3E00-00005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C49" authorId="0" shapeId="0" xr:uid="{00000000-0006-0000-3E00-00005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48 % recovered</t>
        </r>
      </text>
    </comment>
    <comment ref="D49" authorId="0" shapeId="0" xr:uid="{00000000-0006-0000-3E00-00005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  <comment ref="I49" authorId="0" shapeId="0" xr:uid="{00000000-0006-0000-3E00-00005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23 % lost</t>
        </r>
      </text>
    </comment>
    <comment ref="H50" authorId="0" shapeId="0" xr:uid="{00000000-0006-0000-3E00-00005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I50" authorId="0" shapeId="0" xr:uid="{00000000-0006-0000-3E00-00005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H52" authorId="0" shapeId="0" xr:uid="{00000000-0006-0000-3E00-00006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32 % recovered</t>
        </r>
      </text>
    </comment>
    <comment ref="I52" authorId="0" shapeId="0" xr:uid="{00000000-0006-0000-3E00-00006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recovered</t>
        </r>
      </text>
    </comment>
    <comment ref="C53" authorId="0" shapeId="0" xr:uid="{00000000-0006-0000-3E00-00006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recovered</t>
        </r>
      </text>
    </comment>
    <comment ref="E53" authorId="0" shapeId="0" xr:uid="{00000000-0006-0000-3E00-00006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H53" authorId="0" shapeId="0" xr:uid="{00000000-0006-0000-3E00-00006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G54" authorId="0" shapeId="0" xr:uid="{00000000-0006-0000-3E00-00006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34 % lost</t>
        </r>
      </text>
    </comment>
    <comment ref="F56" authorId="0" shapeId="0" xr:uid="{00000000-0006-0000-3E00-00006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</t>
        </r>
      </text>
    </comment>
    <comment ref="I56" authorId="0" shapeId="0" xr:uid="{00000000-0006-0000-3E00-00006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36 % recovered</t>
        </r>
      </text>
    </comment>
    <comment ref="I57" authorId="0" shapeId="0" xr:uid="{00000000-0006-0000-3E00-00006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63 % lost</t>
        </r>
      </text>
    </comment>
    <comment ref="B60" authorId="0" shapeId="0" xr:uid="{00000000-0006-0000-3E00-00006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C60" authorId="0" shapeId="0" xr:uid="{00000000-0006-0000-3E00-00006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D60" authorId="0" shapeId="0" xr:uid="{00000000-0006-0000-3E00-00006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B61" authorId="0" shapeId="0" xr:uid="{00000000-0006-0000-3E00-00006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C61" authorId="0" shapeId="0" xr:uid="{00000000-0006-0000-3E00-00006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E61" authorId="0" shapeId="0" xr:uid="{00000000-0006-0000-3E00-00006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</t>
        </r>
      </text>
    </comment>
    <comment ref="G61" authorId="0" shapeId="0" xr:uid="{00000000-0006-0000-3E00-00006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C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based on RMR (RER = 0.82)
</t>
        </r>
      </text>
    </comment>
    <comment ref="B3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due to RMR (RER = 0.78)</t>
        </r>
      </text>
    </comment>
    <comment ref="B4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 (RER = 0.79)</t>
        </r>
      </text>
    </comment>
    <comment ref="C4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RMR. RER = 0.80</t>
        </r>
      </text>
    </comment>
    <comment ref="C5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 (RER = 0.88)</t>
        </r>
      </text>
    </comment>
    <comment ref="B6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and 2 excluded as per RMR
bag 2 RER 0.86</t>
        </r>
      </text>
    </comment>
    <comment ref="B7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RMR. RER = 0.82</t>
        </r>
      </text>
    </comment>
    <comment ref="C7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3 excluded as per RMR, RER = 0.85</t>
        </r>
      </text>
    </comment>
    <comment ref="C8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last bag excluded as per RMR, RER 0.84</t>
        </r>
      </text>
    </comment>
    <comment ref="C11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RMR, RER 0.75</t>
        </r>
      </text>
    </comment>
    <comment ref="B12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and 2nd bag excluded as per RMR. 
RER of 1st bag = 0.76 (2nd bag = invalid/no data)</t>
        </r>
      </text>
    </comment>
    <comment ref="C12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RMR, RER 0.86</t>
        </r>
      </text>
    </comment>
    <comment ref="B14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2 excluded as per RMR, RER = 0.78</t>
        </r>
      </text>
    </comment>
    <comment ref="C14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as per RMR, RER 0.77</t>
        </r>
      </text>
    </comment>
    <comment ref="C15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2nd bag excluded as per RMR, RER = 0.89</t>
        </r>
      </text>
    </comment>
    <comment ref="C16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bag excluded as per RMR, RER = 0.82</t>
        </r>
      </text>
    </comment>
    <comment ref="B18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RMR, RER = 0.89</t>
        </r>
      </text>
    </comment>
    <comment ref="B19" authorId="0" shapeId="0" xr:uid="{00000000-0006-0000-0C00-00001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 and 4 excluded as per RMR, RER = 0.73 and 0.78 respectively</t>
        </r>
      </text>
    </comment>
    <comment ref="C19" authorId="0" shapeId="0" xr:uid="{00000000-0006-0000-0C00-00001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as per RMR, RER 0.87</t>
        </r>
      </text>
    </comment>
    <comment ref="B23" authorId="0" shapeId="0" xr:uid="{00000000-0006-0000-0C00-00001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3 and 4 excluded as per RMR, RER = 0.73, 0.77 respectively</t>
        </r>
      </text>
    </comment>
    <comment ref="C23" authorId="0" shapeId="0" xr:uid="{00000000-0006-0000-0C00-00001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 and 2 excluded as per RMR, RER = 0.76, 0.77</t>
        </r>
      </text>
    </comment>
    <comment ref="B24" authorId="0" shapeId="0" xr:uid="{00000000-0006-0000-0C00-00001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as per RMR, RER = 0.76</t>
        </r>
      </text>
    </comment>
    <comment ref="C24" authorId="0" shapeId="0" xr:uid="{00000000-0006-0000-0C00-00001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 and 4 excluded as per RMR, RER = 0.78, 0.79</t>
        </r>
      </text>
    </comment>
    <comment ref="B25" authorId="0" shapeId="0" xr:uid="{00000000-0006-0000-0C00-00001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5th bag with mouthpiece only used, as per RMR</t>
        </r>
      </text>
    </comment>
    <comment ref="C25" authorId="0" shapeId="0" xr:uid="{00000000-0006-0000-0C00-00001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as per RMR, RER = 0.85</t>
        </r>
      </text>
    </comment>
    <comment ref="B26" authorId="0" shapeId="0" xr:uid="{00000000-0006-0000-0C00-00001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as per RMR, RER = 0.90</t>
        </r>
      </text>
    </comment>
    <comment ref="C26" authorId="0" shapeId="0" xr:uid="{00000000-0006-0000-0C00-00001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all bags leaked (see RMR), so questionable as to whether these values are accurate (dependent upon how much co2 vs o2 leaked proportionately)</t>
        </r>
      </text>
    </comment>
    <comment ref="C27" authorId="0" shapeId="0" xr:uid="{00000000-0006-0000-0C00-00001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based on bags 3 and 4, bags 1 and 2 RER = 0.83 and 0.86 respectively. Though I wouldn't trust any of the bags</t>
        </r>
      </text>
    </comment>
    <comment ref="B28" authorId="0" shapeId="0" xr:uid="{00000000-0006-0000-0C00-00001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as per RMR, RER 0.81</t>
        </r>
      </text>
    </comment>
    <comment ref="C28" authorId="0" shapeId="0" xr:uid="{00000000-0006-0000-0C00-00001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 and 2 excluded as per RMR, RER = 0.82 and 0.81 respectively</t>
        </r>
      </text>
    </comment>
    <comment ref="B30" authorId="0" shapeId="0" xr:uid="{00000000-0006-0000-0C00-00001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4 only as per RMR
bag 1, 2, 3:
0.73, 0.79, 0.83</t>
        </r>
      </text>
    </comment>
    <comment ref="B33" authorId="0" shapeId="0" xr:uid="{00000000-0006-0000-0C00-00002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Fourth bag excluded due to RMR being excluded (RER = 0.88)
</t>
        </r>
      </text>
    </comment>
    <comment ref="C33" authorId="0" shapeId="0" xr:uid="{00000000-0006-0000-0C00-00002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and last bag excluded as per RMR:
bag 1: 0.85
bag 4: 0.89</t>
        </r>
      </text>
    </comment>
    <comment ref="C34" authorId="0" shapeId="0" xr:uid="{00000000-0006-0000-0C00-00002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based on RMR (RER = 0.74)</t>
        </r>
      </text>
    </comment>
    <comment ref="B35" authorId="0" shapeId="0" xr:uid="{00000000-0006-0000-0C00-00002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excluded first bag, RER 0.84</t>
        </r>
      </text>
    </comment>
    <comment ref="C36" authorId="0" shapeId="0" xr:uid="{00000000-0006-0000-0C00-00002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2nd bag excluded as per RMR. RER = 0.96</t>
        </r>
      </text>
    </comment>
    <comment ref="C37" authorId="0" shapeId="0" xr:uid="{00000000-0006-0000-0C00-00002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2nd 2 bags excluded as per RMR, RER bag 3 0.82, RER bag 4 0.80</t>
        </r>
      </text>
    </comment>
    <comment ref="B38" authorId="0" shapeId="0" xr:uid="{00000000-0006-0000-0C00-00002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3 excluded as per RMR. RER = 0.91</t>
        </r>
      </text>
    </comment>
    <comment ref="B39" authorId="0" shapeId="0" xr:uid="{00000000-0006-0000-0C00-00002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3rd bag excluded as per RMR, RER 0.87</t>
        </r>
      </text>
    </comment>
    <comment ref="C39" authorId="0" shapeId="0" xr:uid="{00000000-0006-0000-0C00-00002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2 and 3 excluded as per RMR, RER = 0.91 and 0.92, respectively</t>
        </r>
      </text>
    </comment>
    <comment ref="B40" authorId="0" shapeId="0" xr:uid="{00000000-0006-0000-0C00-00002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2 excluded as per RMR, RER = 0.82</t>
        </r>
      </text>
    </comment>
    <comment ref="C40" authorId="0" shapeId="0" xr:uid="{00000000-0006-0000-0C00-00002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RMR, RER = 0.88</t>
        </r>
      </text>
    </comment>
    <comment ref="B41" authorId="0" shapeId="0" xr:uid="{00000000-0006-0000-0C00-00002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RMR, RER = 0.81</t>
        </r>
      </text>
    </comment>
    <comment ref="C41" authorId="0" shapeId="0" xr:uid="{00000000-0006-0000-0C00-00002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3 excluded as per RMR, RER 0.85</t>
        </r>
      </text>
    </comment>
    <comment ref="B42" authorId="0" shapeId="0" xr:uid="{00000000-0006-0000-0C00-00002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 (RER = 0.79)</t>
        </r>
      </text>
    </comment>
    <comment ref="C42" authorId="0" shapeId="0" xr:uid="{00000000-0006-0000-0C00-00002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1st bag leaked so no data</t>
        </r>
      </text>
    </comment>
    <comment ref="B43" authorId="0" shapeId="0" xr:uid="{00000000-0006-0000-0C00-00002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bage excluded as per RMR, RER 0.82</t>
        </r>
      </text>
    </comment>
    <comment ref="C43" authorId="0" shapeId="0" xr:uid="{00000000-0006-0000-0C00-00003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RMR, RER 0.86</t>
        </r>
      </text>
    </comment>
    <comment ref="C47" authorId="0" shapeId="0" xr:uid="{00000000-0006-0000-0C00-00003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as per RMR, RER = 0.80</t>
        </r>
      </text>
    </comment>
    <comment ref="B48" authorId="0" shapeId="0" xr:uid="{00000000-0006-0000-0C00-00003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1 and 4 excluded as per RMR</t>
        </r>
      </text>
    </comment>
    <comment ref="C48" authorId="0" shapeId="0" xr:uid="{00000000-0006-0000-0C00-00003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2 excluded as per RMR, RER 0.93</t>
        </r>
      </text>
    </comment>
    <comment ref="B50" authorId="0" shapeId="0" xr:uid="{00000000-0006-0000-0C00-00003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RMR, RER = 0.78</t>
        </r>
      </text>
    </comment>
    <comment ref="B53" authorId="0" shapeId="0" xr:uid="{00000000-0006-0000-0C00-00003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4 excluded as per RMR, RER 0.88</t>
        </r>
      </text>
    </comment>
    <comment ref="C53" authorId="0" shapeId="0" xr:uid="{00000000-0006-0000-0C00-00003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2 excluded as per RMR, RER 0.83</t>
        </r>
      </text>
    </comment>
    <comment ref="B54" authorId="0" shapeId="0" xr:uid="{00000000-0006-0000-0C00-00003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as per RMR, RER = 0.79</t>
        </r>
      </text>
    </comment>
    <comment ref="C54" authorId="0" shapeId="0" xr:uid="{00000000-0006-0000-0C00-00003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2 and 3 excluded as per RMR, RER = 0.79 and 0.83</t>
        </r>
      </text>
    </comment>
    <comment ref="B55" authorId="0" shapeId="0" xr:uid="{00000000-0006-0000-0C00-00003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3 excluded as per RMR, RER = 0.78</t>
        </r>
      </text>
    </comment>
    <comment ref="C55" authorId="0" shapeId="0" xr:uid="{00000000-0006-0000-0C00-00003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first bag excluded as per RMR, RER = 0.73</t>
        </r>
      </text>
    </comment>
    <comment ref="B57" authorId="0" shapeId="0" xr:uid="{00000000-0006-0000-0C00-00003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bags1, 2, 3 excluded as per RMR, RER = 0.84, 0.89, 0.89 respectively </t>
        </r>
      </text>
    </comment>
    <comment ref="C58" authorId="0" shapeId="0" xr:uid="{00000000-0006-0000-0C00-00003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bags 3 and 4 excluded as per RMR, RER 0.92 and 0.91 respectively
but I'd take the inputted numbers from bag 1 and 2 cautiously anyway</t>
        </r>
      </text>
    </comment>
    <comment ref="B59" authorId="0" shapeId="0" xr:uid="{00000000-0006-0000-0C00-00003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clearly invalid. 
RER for excluded bags = 
0.91, 0.92, 0.81</t>
        </r>
      </text>
    </comment>
    <comment ref="C59" authorId="0" shapeId="0" xr:uid="{00000000-0006-0000-0C00-00003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4 excluded as per RMR, RER = 0.78</t>
        </r>
      </text>
    </comment>
    <comment ref="C60" authorId="0" shapeId="0" xr:uid="{00000000-0006-0000-0C00-00003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bag 1 excluded as per RMR, RER = 0.77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C4" authorId="0" shapeId="0" xr:uid="{00000000-0006-0000-3F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D4" authorId="0" shapeId="0" xr:uid="{00000000-0006-0000-3F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E4" authorId="0" shapeId="0" xr:uid="{00000000-0006-0000-3F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G4" authorId="0" shapeId="0" xr:uid="{00000000-0006-0000-3F00-00000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</t>
        </r>
      </text>
    </comment>
    <comment ref="F5" authorId="0" shapeId="0" xr:uid="{00000000-0006-0000-3F00-00000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24.89 %
recovered: 29.65 %</t>
        </r>
      </text>
    </comment>
    <comment ref="G5" authorId="0" shapeId="0" xr:uid="{00000000-0006-0000-3F00-00000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20.28 %
recovered: 31.11 %</t>
        </r>
      </text>
    </comment>
    <comment ref="H5" authorId="0" shapeId="0" xr:uid="{00000000-0006-0000-3F00-00000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25.35 %
recovered: 39.24</t>
        </r>
      </text>
    </comment>
    <comment ref="I5" authorId="0" shapeId="0" xr:uid="{00000000-0006-0000-3F00-00000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20 %
recovered: 26.32 %</t>
        </r>
      </text>
    </comment>
    <comment ref="B7" authorId="0" shapeId="0" xr:uid="{00000000-0006-0000-3F00-00000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E7" authorId="0" shapeId="0" xr:uid="{00000000-0006-0000-3F00-00000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ActiHeart didn't record</t>
        </r>
      </text>
    </comment>
    <comment ref="F9" authorId="0" shapeId="0" xr:uid="{00000000-0006-0000-3F00-00000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24.65 % recovered</t>
        </r>
      </text>
    </comment>
    <comment ref="G9" authorId="0" shapeId="0" xr:uid="{00000000-0006-0000-3F00-00000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48.82 % recovered</t>
        </r>
      </text>
    </comment>
    <comment ref="H10" authorId="0" shapeId="0" xr:uid="{00000000-0006-0000-3F00-00000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27.71 % recovered data</t>
        </r>
      </text>
    </comment>
    <comment ref="B11" authorId="0" shapeId="0" xr:uid="{00000000-0006-0000-3F00-00000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 
</t>
        </r>
      </text>
    </comment>
    <comment ref="D11" authorId="0" shapeId="0" xr:uid="{00000000-0006-0000-3F00-00000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74 % lost</t>
        </r>
      </text>
    </comment>
    <comment ref="F11" authorId="0" shapeId="0" xr:uid="{00000000-0006-0000-3F00-00001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lost
27 % recovered</t>
        </r>
      </text>
    </comment>
    <comment ref="G11" authorId="0" shapeId="0" xr:uid="{00000000-0006-0000-3F00-00001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47 % lost
27 % recovered</t>
        </r>
      </text>
    </comment>
    <comment ref="H11" authorId="0" shapeId="0" xr:uid="{00000000-0006-0000-3F00-00001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
25 % recovered</t>
        </r>
      </text>
    </comment>
    <comment ref="I11" authorId="0" shapeId="0" xr:uid="{00000000-0006-0000-3F00-00001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88 % lost
2 % recovered</t>
        </r>
      </text>
    </comment>
    <comment ref="F12" authorId="0" shapeId="0" xr:uid="{00000000-0006-0000-3F00-00001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G12" authorId="0" shapeId="0" xr:uid="{00000000-0006-0000-3F00-00001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12" authorId="0" shapeId="0" xr:uid="{00000000-0006-0000-3F00-00001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I12" authorId="0" shapeId="0" xr:uid="{00000000-0006-0000-3F00-00001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C14" authorId="0" shapeId="0" xr:uid="{00000000-0006-0000-3F00-00001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E14" authorId="0" shapeId="0" xr:uid="{00000000-0006-0000-3F00-00001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F15" authorId="0" shapeId="0" xr:uid="{00000000-0006-0000-3F00-00001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data lost</t>
        </r>
      </text>
    </comment>
    <comment ref="B16" authorId="0" shapeId="0" xr:uid="{00000000-0006-0000-3F00-00001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recovered</t>
        </r>
      </text>
    </comment>
    <comment ref="C16" authorId="0" shapeId="0" xr:uid="{00000000-0006-0000-3F00-00001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D16" authorId="0" shapeId="0" xr:uid="{00000000-0006-0000-3F00-00001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16" authorId="0" shapeId="0" xr:uid="{00000000-0006-0000-3F00-00001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E17" authorId="0" shapeId="0" xr:uid="{00000000-0006-0000-3F00-00001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36 % recovered</t>
        </r>
      </text>
    </comment>
    <comment ref="F17" authorId="0" shapeId="0" xr:uid="{00000000-0006-0000-3F00-00002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31 % lost</t>
        </r>
      </text>
    </comment>
    <comment ref="H18" authorId="0" shapeId="0" xr:uid="{00000000-0006-0000-3F00-00002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I22" authorId="0" shapeId="0" xr:uid="{00000000-0006-0000-3F00-00002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F23" authorId="0" shapeId="0" xr:uid="{00000000-0006-0000-3F00-00002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D24" authorId="0" shapeId="0" xr:uid="{00000000-0006-0000-3F00-00002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E24" authorId="0" shapeId="0" xr:uid="{00000000-0006-0000-3F00-00002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stopped recording</t>
        </r>
      </text>
    </comment>
    <comment ref="F25" authorId="0" shapeId="0" xr:uid="{00000000-0006-0000-3F00-00002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37 % lost</t>
        </r>
      </text>
    </comment>
    <comment ref="F26" authorId="0" shapeId="0" xr:uid="{00000000-0006-0000-3F00-00002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96 % lost</t>
        </r>
      </text>
    </comment>
    <comment ref="H26" authorId="0" shapeId="0" xr:uid="{00000000-0006-0000-3F00-00002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50 % lost</t>
        </r>
      </text>
    </comment>
    <comment ref="I26" authorId="0" shapeId="0" xr:uid="{00000000-0006-0000-3F00-00002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100 % lost</t>
        </r>
      </text>
    </comment>
    <comment ref="E27" authorId="0" shapeId="0" xr:uid="{00000000-0006-0000-3F00-00002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recovered</t>
        </r>
      </text>
    </comment>
    <comment ref="H27" authorId="0" shapeId="0" xr:uid="{00000000-0006-0000-3F00-00002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43 % recovered</t>
        </r>
      </text>
    </comment>
    <comment ref="I27" authorId="0" shapeId="0" xr:uid="{00000000-0006-0000-3F00-00002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recovered</t>
        </r>
      </text>
    </comment>
    <comment ref="H30" authorId="0" shapeId="0" xr:uid="{00000000-0006-0000-3F00-00002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30 % lost</t>
        </r>
      </text>
    </comment>
    <comment ref="C34" authorId="0" shapeId="0" xr:uid="{00000000-0006-0000-3F00-00002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 min
</t>
        </r>
      </text>
    </comment>
    <comment ref="E34" authorId="0" shapeId="0" xr:uid="{00000000-0006-0000-3F00-00002F000000}">
      <text>
        <r>
          <rPr>
            <b/>
            <sz val="9"/>
            <color indexed="81"/>
            <rFont val="Tahoma"/>
            <family val="2"/>
          </rPr>
          <t xml:space="preserve">Harriet Carroll:
</t>
        </r>
        <r>
          <rPr>
            <sz val="9"/>
            <color indexed="81"/>
            <rFont val="Tahoma"/>
            <family val="2"/>
          </rPr>
          <t xml:space="preserve">0 min
</t>
        </r>
      </text>
    </comment>
    <comment ref="B35" authorId="0" shapeId="0" xr:uid="{00000000-0006-0000-3F00-00003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D35" authorId="0" shapeId="0" xr:uid="{00000000-0006-0000-3F00-00003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E35" authorId="0" shapeId="0" xr:uid="{00000000-0006-0000-3F00-00003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F35" authorId="0" shapeId="0" xr:uid="{00000000-0006-0000-3F00-00003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G35" authorId="0" shapeId="0" xr:uid="{00000000-0006-0000-3F00-00003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35" authorId="0" shapeId="0" xr:uid="{00000000-0006-0000-3F00-00003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I35" authorId="0" shapeId="0" xr:uid="{00000000-0006-0000-3F00-00003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0</t>
        </r>
      </text>
    </comment>
    <comment ref="B36" authorId="0" shapeId="0" xr:uid="{00000000-0006-0000-3F00-00003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33.68 %
recovered: 34.38</t>
        </r>
      </text>
    </comment>
    <comment ref="C36" authorId="0" shapeId="0" xr:uid="{00000000-0006-0000-3F00-00003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28.82 % lost
27.50 % recovered</t>
        </r>
      </text>
    </comment>
    <comment ref="D36" authorId="0" shapeId="0" xr:uid="{00000000-0006-0000-3F00-00003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lost: 33.75 %
recovered: 18.19</t>
        </r>
      </text>
    </comment>
    <comment ref="E36" authorId="0" shapeId="0" xr:uid="{00000000-0006-0000-3F00-00003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29.36 % lost
29.17 % recovered</t>
        </r>
      </text>
    </comment>
    <comment ref="C38" authorId="0" shapeId="0" xr:uid="{00000000-0006-0000-3F00-00003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F38" authorId="0" shapeId="0" xr:uid="{00000000-0006-0000-3F00-00003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too much error</t>
        </r>
      </text>
    </comment>
    <comment ref="I39" authorId="0" shapeId="0" xr:uid="{00000000-0006-0000-3F00-00003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lost</t>
        </r>
      </text>
    </comment>
    <comment ref="B40" authorId="0" shapeId="0" xr:uid="{00000000-0006-0000-3F00-00003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40 %</t>
        </r>
      </text>
    </comment>
    <comment ref="C40" authorId="0" shapeId="0" xr:uid="{00000000-0006-0000-3F00-00003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57 %</t>
        </r>
      </text>
    </comment>
    <comment ref="D40" authorId="0" shapeId="0" xr:uid="{00000000-0006-0000-3F00-00004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62 %</t>
        </r>
      </text>
    </comment>
    <comment ref="E40" authorId="0" shapeId="0" xr:uid="{00000000-0006-0000-3F00-00004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55 %</t>
        </r>
      </text>
    </comment>
    <comment ref="G40" authorId="0" shapeId="0" xr:uid="{00000000-0006-0000-3F00-00004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27 %</t>
        </r>
      </text>
    </comment>
    <comment ref="I40" authorId="0" shapeId="0" xr:uid="{00000000-0006-0000-3F00-00004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recovered 48 %</t>
        </r>
      </text>
    </comment>
    <comment ref="D41" authorId="0" shapeId="0" xr:uid="{00000000-0006-0000-3F00-00004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44 % lost
</t>
        </r>
      </text>
    </comment>
    <comment ref="E41" authorId="0" shapeId="0" xr:uid="{00000000-0006-0000-3F00-00004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11.32 % lost</t>
        </r>
      </text>
    </comment>
    <comment ref="F41" authorId="0" shapeId="0" xr:uid="{00000000-0006-0000-3F00-00004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recovered</t>
        </r>
      </text>
    </comment>
    <comment ref="G41" authorId="0" shapeId="0" xr:uid="{00000000-0006-0000-3F00-00004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29.79 % recovered</t>
        </r>
      </text>
    </comment>
    <comment ref="H41" authorId="0" shapeId="0" xr:uid="{00000000-0006-0000-3F00-00004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lost
</t>
        </r>
      </text>
    </comment>
    <comment ref="I41" authorId="0" shapeId="0" xr:uid="{00000000-0006-0000-3F00-00004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33 % recovered</t>
        </r>
      </text>
    </comment>
    <comment ref="C42" authorId="0" shapeId="0" xr:uid="{00000000-0006-0000-3F00-00004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45 % recovered</t>
        </r>
      </text>
    </comment>
    <comment ref="D42" authorId="0" shapeId="0" xr:uid="{00000000-0006-0000-3F00-00004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26 % lost
29 % recovered</t>
        </r>
      </text>
    </comment>
    <comment ref="G42" authorId="0" shapeId="0" xr:uid="{00000000-0006-0000-3F00-00004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
</t>
        </r>
      </text>
    </comment>
    <comment ref="H42" authorId="0" shapeId="0" xr:uid="{00000000-0006-0000-3F00-00004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lost
</t>
        </r>
      </text>
    </comment>
    <comment ref="F43" authorId="0" shapeId="0" xr:uid="{00000000-0006-0000-3F00-00004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lost, 22 % recovered</t>
        </r>
      </text>
    </comment>
    <comment ref="G43" authorId="0" shapeId="0" xr:uid="{00000000-0006-0000-3F00-00004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28 % lost</t>
        </r>
      </text>
    </comment>
    <comment ref="H43" authorId="0" shapeId="0" xr:uid="{00000000-0006-0000-3F00-00005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27 % lost </t>
        </r>
      </text>
    </comment>
    <comment ref="I43" authorId="0" shapeId="0" xr:uid="{00000000-0006-0000-3F00-00005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27 % recovered</t>
        </r>
      </text>
    </comment>
    <comment ref="E45" authorId="0" shapeId="0" xr:uid="{00000000-0006-0000-3F00-00005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unable to wear activity monitor</t>
        </r>
      </text>
    </comment>
    <comment ref="C46" authorId="0" shapeId="0" xr:uid="{00000000-0006-0000-3F00-00005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39 % data recovered</t>
        </r>
      </text>
    </comment>
    <comment ref="D46" authorId="0" shapeId="0" xr:uid="{00000000-0006-0000-3F00-00005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data recovered</t>
        </r>
      </text>
    </comment>
    <comment ref="E46" authorId="0" shapeId="0" xr:uid="{00000000-0006-0000-3F00-00005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data recovered</t>
        </r>
      </text>
    </comment>
    <comment ref="B47" authorId="0" shapeId="0" xr:uid="{00000000-0006-0000-3F00-00005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46 % recovered</t>
        </r>
      </text>
    </comment>
    <comment ref="C47" authorId="0" shapeId="0" xr:uid="{00000000-0006-0000-3F00-00005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58 % recovered</t>
        </r>
      </text>
    </comment>
    <comment ref="D47" authorId="0" shapeId="0" xr:uid="{00000000-0006-0000-3F00-00005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38 % recovered</t>
        </r>
      </text>
    </comment>
    <comment ref="E47" authorId="0" shapeId="0" xr:uid="{00000000-0006-0000-3F00-00005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7" authorId="0" shapeId="0" xr:uid="{00000000-0006-0000-3F00-00005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C49" authorId="0" shapeId="0" xr:uid="{00000000-0006-0000-3F00-00005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48 % recovered</t>
        </r>
      </text>
    </comment>
    <comment ref="D49" authorId="0" shapeId="0" xr:uid="{00000000-0006-0000-3F00-00005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  <comment ref="I49" authorId="0" shapeId="0" xr:uid="{00000000-0006-0000-3F00-00005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23 % lost</t>
        </r>
      </text>
    </comment>
    <comment ref="H50" authorId="0" shapeId="0" xr:uid="{00000000-0006-0000-3F00-00005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35 % recovered</t>
        </r>
      </text>
    </comment>
    <comment ref="I50" authorId="0" shapeId="0" xr:uid="{00000000-0006-0000-3F00-00005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24 % recovered</t>
        </r>
      </text>
    </comment>
    <comment ref="H52" authorId="0" shapeId="0" xr:uid="{00000000-0006-0000-3F00-00006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32 % recovered</t>
        </r>
      </text>
    </comment>
    <comment ref="I52" authorId="0" shapeId="0" xr:uid="{00000000-0006-0000-3F00-00006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29 % recovered</t>
        </r>
      </text>
    </comment>
    <comment ref="C53" authorId="0" shapeId="0" xr:uid="{00000000-0006-0000-3F00-00006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14 % recovered</t>
        </r>
      </text>
    </comment>
    <comment ref="E53" authorId="0" shapeId="0" xr:uid="{00000000-0006-0000-3F00-00006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recovered</t>
        </r>
      </text>
    </comment>
    <comment ref="H53" authorId="0" shapeId="0" xr:uid="{00000000-0006-0000-3F00-00006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52 % recovered</t>
        </r>
      </text>
    </comment>
    <comment ref="G54" authorId="0" shapeId="0" xr:uid="{00000000-0006-0000-3F00-00006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34 % lost</t>
        </r>
      </text>
    </comment>
    <comment ref="F56" authorId="0" shapeId="0" xr:uid="{00000000-0006-0000-3F00-00006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15 % lost</t>
        </r>
      </text>
    </comment>
    <comment ref="I56" authorId="0" shapeId="0" xr:uid="{00000000-0006-0000-3F00-00006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12 % lost, 36 % recovered</t>
        </r>
      </text>
    </comment>
    <comment ref="I57" authorId="0" shapeId="0" xr:uid="{00000000-0006-0000-3F00-00006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63 % lost</t>
        </r>
      </text>
    </comment>
    <comment ref="B60" authorId="0" shapeId="0" xr:uid="{00000000-0006-0000-3F00-00006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C60" authorId="0" shapeId="0" xr:uid="{00000000-0006-0000-3F00-00006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D60" authorId="0" shapeId="0" xr:uid="{00000000-0006-0000-3F00-00006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save for some reason</t>
        </r>
      </text>
    </comment>
    <comment ref="B61" authorId="0" shapeId="0" xr:uid="{00000000-0006-0000-3F00-00006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C61" authorId="0" shapeId="0" xr:uid="{00000000-0006-0000-3F00-00006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error, no data</t>
        </r>
      </text>
    </comment>
    <comment ref="E61" authorId="0" shapeId="0" xr:uid="{00000000-0006-0000-3F00-00006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49 % lost</t>
        </r>
      </text>
    </comment>
    <comment ref="G61" authorId="0" shapeId="0" xr:uid="{00000000-0006-0000-3F00-00006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25 % lost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B1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question 34 removed due to follow-up trial missing this question. 
Ths score for this question was 3</t>
        </r>
      </text>
    </comment>
    <comment ref="C16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 question 34 so removed this from baseline lab too</t>
        </r>
      </text>
    </comment>
    <comment ref="C40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didn't complete questions 30-39</t>
        </r>
      </text>
    </comment>
    <comment ref="B41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Questions 17 and 20 left blank so scored as 0</t>
        </r>
      </text>
    </comment>
    <comment ref="C41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Score questions 17 (scored 3) and 20 (scored 4) as 0 as per BL measure where these were missed</t>
        </r>
      </text>
    </comment>
    <comment ref="B49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question 25 missed</t>
        </r>
      </text>
    </comment>
    <comment ref="C49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question 25 excluded as per baseline trial</t>
        </r>
      </text>
    </comment>
    <comment ref="B54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question 16 removed as follow-up measure was missed</t>
        </r>
      </text>
    </comment>
    <comment ref="C54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question 16 missed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B2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this was the original 37 item list - at follow-up soda and diet soda had been added</t>
        </r>
      </text>
    </comment>
    <comment ref="C2" authorId="0" shapeId="0" xr:uid="{00000000-0006-0000-18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62 if you exclude soda and diet soda</t>
        </r>
      </text>
    </comment>
    <comment ref="U2" authorId="0" shapeId="0" xr:uid="{00000000-0006-0000-18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 but not included as wasn’t included in lab 1 </t>
        </r>
      </text>
    </comment>
    <comment ref="V2" authorId="0" shapeId="0" xr:uid="{00000000-0006-0000-1800-00000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 but not included as not included in lab 1</t>
        </r>
      </text>
    </comment>
    <comment ref="B12" authorId="0" shapeId="0" xr:uid="{00000000-0006-0000-1800-00000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removed steak because missing from lab 2 (score = 1
</t>
        </r>
      </text>
    </comment>
    <comment ref="C12" authorId="0" shapeId="0" xr:uid="{00000000-0006-0000-1800-000006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 answer for 'steak', so scored as 0</t>
        </r>
      </text>
    </comment>
    <comment ref="B15" authorId="0" shapeId="0" xr:uid="{00000000-0006-0000-1800-000007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hot dog excluded (score = 2) due to missing follow-up</t>
        </r>
      </text>
    </comment>
    <comment ref="C15" authorId="0" shapeId="0" xr:uid="{00000000-0006-0000-1800-000008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rating for hot dog missing so excluded this from basline measure too</t>
        </r>
      </text>
    </comment>
    <comment ref="B26" authorId="0" shapeId="0" xr:uid="{00000000-0006-0000-1800-000009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following questions missed due to being lifelong vegetarian:
11, 17, 30, 32, 35
Meat-free substitutions made for the following questions:
3, 6, 13, 33</t>
        </r>
      </text>
    </comment>
    <comment ref="C26" authorId="0" shapeId="0" xr:uid="{00000000-0006-0000-1800-00000A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made meat free substitutes for each of the non-veggie items, but these have been removed for the questions missed on lab 1 (original score for lab 2 = 74)</t>
        </r>
      </text>
    </comment>
    <comment ref="K33" authorId="0" shapeId="0" xr:uid="{00000000-0006-0000-1800-00000B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 but not included as wasn’t included in lab 1 </t>
        </r>
      </text>
    </comment>
    <comment ref="L33" authorId="0" shapeId="0" xr:uid="{00000000-0006-0000-1800-00000C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 but not included as not included in lab 1</t>
        </r>
      </text>
    </comment>
    <comment ref="U33" authorId="0" shapeId="0" xr:uid="{00000000-0006-0000-1800-00000D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2 but not included as wasn’t included in lab 1 </t>
        </r>
      </text>
    </comment>
    <comment ref="V33" authorId="0" shapeId="0" xr:uid="{00000000-0006-0000-1800-00000E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4 but not included as not included in lab 1</t>
        </r>
      </text>
    </comment>
    <comment ref="B34" authorId="0" shapeId="0" xr:uid="{00000000-0006-0000-1800-00000F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this was the original 37 item list - at follow-up soda and diet soda had been added</t>
        </r>
      </text>
    </comment>
    <comment ref="B43" authorId="0" shapeId="0" xr:uid="{00000000-0006-0000-1800-000010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removed steak as per other labs. Score = 1</t>
        </r>
      </text>
    </comment>
    <comment ref="C43" authorId="0" shapeId="0" xr:uid="{00000000-0006-0000-1800-00001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removed steak as per other labs, score = </t>
        </r>
      </text>
    </comment>
    <comment ref="B46" authorId="0" shapeId="0" xr:uid="{00000000-0006-0000-1800-00001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hot dog excluded (score = 2) due to missing follow-up</t>
        </r>
      </text>
    </comment>
    <comment ref="C46" authorId="0" shapeId="0" xr:uid="{00000000-0006-0000-1800-00001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7" authorId="0" shapeId="0" xr:uid="{00000000-0006-0000-1800-000014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questions 11, 17, 30, 32, 35 excluded as per lab 1</t>
        </r>
      </text>
    </comment>
    <comment ref="C57" authorId="0" shapeId="0" xr:uid="{00000000-0006-0000-1800-000015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questions 11, 17, 30, 32, 35 excluded as per lab 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B12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 all but 2 questions from second half of questionnaire, so maximum score for what was completed for factor 1 is 13</t>
        </r>
      </text>
    </comment>
    <comment ref="C12" authorId="0" shapeId="0" xr:uid="{00000000-0006-0000-1D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ignored the same answers as weren't answered in lab 1. 
(full score = 18)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B12" authorId="0" shapeId="0" xr:uid="{00000000-0006-0000-1E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 all but 2 questions from second half of questionnaire, so maximum score for what was completed for factor 2 is 14</t>
        </r>
      </text>
    </comment>
    <comment ref="C12" authorId="0" shapeId="0" xr:uid="{00000000-0006-0000-1E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ignored the same answers as weren't answered in lab 1. 
(full score = 7)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B12" authorId="0" shapeId="0" xr:uid="{00000000-0006-0000-1F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Missed all but 2 questions from second half of questionnaire, so maximum score for what was completed for factor 3 is 11</t>
        </r>
      </text>
    </comment>
    <comment ref="C12" authorId="0" shapeId="0" xr:uid="{00000000-0006-0000-1F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ignored the same answers as weren't answered in lab 1. 
(full score = 4)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Harriet Carroll</author>
  </authors>
  <commentList>
    <comment ref="C33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Participant notes = heat</t>
        </r>
      </text>
    </comment>
    <comment ref="D33" authorId="0" shapeId="0" xr:uid="{00000000-0006-0000-2A00-000002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Participant notes = heat</t>
        </r>
      </text>
    </comment>
    <comment ref="C34" authorId="0" shapeId="0" xr:uid="{00000000-0006-0000-2A00-000003000000}">
      <text>
        <r>
          <rPr>
            <b/>
            <sz val="9"/>
            <color indexed="81"/>
            <rFont val="Tahoma"/>
            <family val="2"/>
          </rPr>
          <t>Harriet Carroll:</t>
        </r>
        <r>
          <rPr>
            <sz val="9"/>
            <color indexed="81"/>
            <rFont val="Tahoma"/>
            <family val="2"/>
          </rPr>
          <t xml:space="preserve">
Missing</t>
        </r>
      </text>
    </comment>
  </commentList>
</comments>
</file>

<file path=xl/sharedStrings.xml><?xml version="1.0" encoding="utf-8"?>
<sst xmlns="http://schemas.openxmlformats.org/spreadsheetml/2006/main" count="4379" uniqueCount="278">
  <si>
    <t>PLAIN</t>
  </si>
  <si>
    <t>SWEET</t>
  </si>
  <si>
    <t>Follow-up</t>
  </si>
  <si>
    <t>PS01</t>
  </si>
  <si>
    <t>Baseline</t>
  </si>
  <si>
    <t>Sex</t>
  </si>
  <si>
    <t>Height</t>
  </si>
  <si>
    <t>Male</t>
  </si>
  <si>
    <t>Randomisation (P = plain first; S = sweet first)</t>
  </si>
  <si>
    <t>P</t>
  </si>
  <si>
    <t>Age</t>
  </si>
  <si>
    <t>Female</t>
  </si>
  <si>
    <t>S</t>
  </si>
  <si>
    <t>SP02</t>
  </si>
  <si>
    <t>Sweet</t>
  </si>
  <si>
    <t>Salty</t>
  </si>
  <si>
    <t>Savoury</t>
  </si>
  <si>
    <t>Fatty</t>
  </si>
  <si>
    <t>cake</t>
  </si>
  <si>
    <t>pizza</t>
  </si>
  <si>
    <t>fried chicken</t>
  </si>
  <si>
    <t>gravy</t>
  </si>
  <si>
    <t>sandwich bread</t>
  </si>
  <si>
    <t>sausage</t>
  </si>
  <si>
    <t>pudding</t>
  </si>
  <si>
    <t>chips</t>
  </si>
  <si>
    <t>cinnamon rolls</t>
  </si>
  <si>
    <t>rice</t>
  </si>
  <si>
    <t>hot dog</t>
  </si>
  <si>
    <t>peanut putter</t>
  </si>
  <si>
    <t>hamburger</t>
  </si>
  <si>
    <t>biscuits</t>
  </si>
  <si>
    <t>ice cream</t>
  </si>
  <si>
    <t>pasta</t>
  </si>
  <si>
    <t>fried fish</t>
  </si>
  <si>
    <t>whole milk</t>
  </si>
  <si>
    <t>cookies</t>
  </si>
  <si>
    <t>chocolate</t>
  </si>
  <si>
    <t>pancakes or waffles</t>
  </si>
  <si>
    <t>muffins</t>
  </si>
  <si>
    <t>crisps</t>
  </si>
  <si>
    <t>butter/margarine</t>
  </si>
  <si>
    <t>bread rolls</t>
  </si>
  <si>
    <t>cereal</t>
  </si>
  <si>
    <t>doughnuts</t>
  </si>
  <si>
    <t>sweets</t>
  </si>
  <si>
    <t>brownies</t>
  </si>
  <si>
    <t>bacon</t>
  </si>
  <si>
    <t>croissants</t>
  </si>
  <si>
    <t>steak</t>
  </si>
  <si>
    <t>pie (savoury)</t>
  </si>
  <si>
    <t>baked potato</t>
  </si>
  <si>
    <t>bbq ribs</t>
  </si>
  <si>
    <t>mashed potato</t>
  </si>
  <si>
    <t>bagel</t>
  </si>
  <si>
    <t>sugary soda</t>
  </si>
  <si>
    <t>diet soda</t>
  </si>
  <si>
    <t>Food</t>
  </si>
  <si>
    <t>Flavour</t>
  </si>
  <si>
    <t>Other answers</t>
  </si>
  <si>
    <t>neutral</t>
  </si>
  <si>
    <t>Bananas</t>
  </si>
  <si>
    <t>Porridge</t>
  </si>
  <si>
    <t>Fruit</t>
  </si>
  <si>
    <t>Season testing was conducted</t>
  </si>
  <si>
    <t>Summer (May-June)</t>
  </si>
  <si>
    <t>Summer (June-July)</t>
  </si>
  <si>
    <t>Notes</t>
  </si>
  <si>
    <t>PS03</t>
  </si>
  <si>
    <t>PS04</t>
  </si>
  <si>
    <t>SP05</t>
  </si>
  <si>
    <t>Summer (July)</t>
  </si>
  <si>
    <t>Fruit (banana/apple)</t>
  </si>
  <si>
    <t>Vegetables (green beans etc)</t>
  </si>
  <si>
    <t>PS06</t>
  </si>
  <si>
    <t>Summer</t>
  </si>
  <si>
    <t>Noodle soup</t>
  </si>
  <si>
    <t>Thai spicy food</t>
  </si>
  <si>
    <t>Chinese food</t>
  </si>
  <si>
    <t>PS07</t>
  </si>
  <si>
    <t>SP09</t>
  </si>
  <si>
    <t>Autumn</t>
  </si>
  <si>
    <t>Cheese</t>
  </si>
  <si>
    <t>Savoury, salty, fatty</t>
  </si>
  <si>
    <t>Poached egg</t>
  </si>
  <si>
    <t>change</t>
  </si>
  <si>
    <t>PS11</t>
  </si>
  <si>
    <t>no taste</t>
  </si>
  <si>
    <t>Noodles</t>
  </si>
  <si>
    <t>Fruits</t>
  </si>
  <si>
    <t>Whole cake</t>
  </si>
  <si>
    <t>Cornish pasty</t>
  </si>
  <si>
    <t>SP13</t>
  </si>
  <si>
    <t>PS14</t>
  </si>
  <si>
    <t>"weird"; "necessary for me"; not specified</t>
  </si>
  <si>
    <t>Pork</t>
  </si>
  <si>
    <t>Salty, fatty</t>
  </si>
  <si>
    <t>Cauliflower</t>
  </si>
  <si>
    <t>Other (unspecified)</t>
  </si>
  <si>
    <t>Semi-skimmed milk</t>
  </si>
  <si>
    <t>Sweet, savoury</t>
  </si>
  <si>
    <t>Yoghurt</t>
  </si>
  <si>
    <t>x = wouldn't eat this if craved it</t>
  </si>
  <si>
    <t>x</t>
  </si>
  <si>
    <t>raspberries</t>
  </si>
  <si>
    <t>yoghurt</t>
  </si>
  <si>
    <t>nutella</t>
  </si>
  <si>
    <t>hummus</t>
  </si>
  <si>
    <t>cheese</t>
  </si>
  <si>
    <t>Winter</t>
  </si>
  <si>
    <t>PS16</t>
  </si>
  <si>
    <t>Ham</t>
  </si>
  <si>
    <t>Chilli</t>
  </si>
  <si>
    <t>Tomato</t>
  </si>
  <si>
    <t>Lettuce</t>
  </si>
  <si>
    <t>Mayonnaise</t>
  </si>
  <si>
    <t>Seeded granary bread</t>
  </si>
  <si>
    <t>Houmous</t>
  </si>
  <si>
    <t>Savoury biscuits (cheese biscuits)</t>
  </si>
  <si>
    <t>Chilli jam</t>
  </si>
  <si>
    <t>PS18</t>
  </si>
  <si>
    <t>Salad</t>
  </si>
  <si>
    <t>Nuts</t>
  </si>
  <si>
    <t>had been ill shortly prior the 4th lab visit</t>
  </si>
  <si>
    <t>marmite</t>
  </si>
  <si>
    <t>SP22</t>
  </si>
  <si>
    <t>plain</t>
  </si>
  <si>
    <t>Instant noodles (Chinese or Korean brands)</t>
  </si>
  <si>
    <t>Hot pot (Chinese style)</t>
  </si>
  <si>
    <t>Savoury, spicy</t>
  </si>
  <si>
    <t>PS25</t>
  </si>
  <si>
    <t>sweet potato fries</t>
  </si>
  <si>
    <t>SP29</t>
  </si>
  <si>
    <t>Spring</t>
  </si>
  <si>
    <t>starchy (cereal)</t>
  </si>
  <si>
    <t>fruits</t>
  </si>
  <si>
    <t>sweet</t>
  </si>
  <si>
    <t>veg</t>
  </si>
  <si>
    <t>savoury</t>
  </si>
  <si>
    <t>houmous</t>
  </si>
  <si>
    <t>eggs</t>
  </si>
  <si>
    <t>natural yoghurt</t>
  </si>
  <si>
    <t>savoury, fatty</t>
  </si>
  <si>
    <t>fatty</t>
  </si>
  <si>
    <t>SP27</t>
  </si>
  <si>
    <t>PS26</t>
  </si>
  <si>
    <t>PS31</t>
  </si>
  <si>
    <t>SP32</t>
  </si>
  <si>
    <t>meaty; cold; plasticy</t>
  </si>
  <si>
    <t>salty</t>
  </si>
  <si>
    <t>has brown</t>
  </si>
  <si>
    <t>cheese crackers</t>
  </si>
  <si>
    <t>fatty, savoury</t>
  </si>
  <si>
    <t>sushi</t>
  </si>
  <si>
    <t>savoury, salty</t>
  </si>
  <si>
    <t>PS33</t>
  </si>
  <si>
    <t>spicy Asian dishes</t>
  </si>
  <si>
    <t>mandarin</t>
  </si>
  <si>
    <t>SP34</t>
  </si>
  <si>
    <t>creamy</t>
  </si>
  <si>
    <t>PS36</t>
  </si>
  <si>
    <t>fatty, salty</t>
  </si>
  <si>
    <t>SP35</t>
  </si>
  <si>
    <t>nutty; bitter</t>
  </si>
  <si>
    <t>sweet chilli crisps</t>
  </si>
  <si>
    <t>salted beef</t>
  </si>
  <si>
    <t>apple sauce</t>
  </si>
  <si>
    <t>fish</t>
  </si>
  <si>
    <t>liver with onion sauce</t>
  </si>
  <si>
    <t>black pudding</t>
  </si>
  <si>
    <t>dark chocolate</t>
  </si>
  <si>
    <t>bitter</t>
  </si>
  <si>
    <t>coffee</t>
  </si>
  <si>
    <t>PS37</t>
  </si>
  <si>
    <t>SP38</t>
  </si>
  <si>
    <t>SP39</t>
  </si>
  <si>
    <t>high on carbs</t>
  </si>
  <si>
    <t>blueberries</t>
  </si>
  <si>
    <t>carrots</t>
  </si>
  <si>
    <t>sweet, savoury</t>
  </si>
  <si>
    <t>halloumi</t>
  </si>
  <si>
    <t>creamy; starchy</t>
  </si>
  <si>
    <t>speculaas</t>
  </si>
  <si>
    <t>liqorice</t>
  </si>
  <si>
    <t>dried ham</t>
  </si>
  <si>
    <t>sweet, salty</t>
  </si>
  <si>
    <t>PS41</t>
  </si>
  <si>
    <t>SP40</t>
  </si>
  <si>
    <t>eggs (soft boiled)</t>
  </si>
  <si>
    <t>starchy; not much taste (rice); plain (pasta, baked potato, mashed potato)</t>
  </si>
  <si>
    <t>baseline</t>
  </si>
  <si>
    <t>follow-up</t>
  </si>
  <si>
    <t>day 1</t>
  </si>
  <si>
    <t>day 15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</si>
  <si>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</si>
  <si>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</si>
  <si>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</si>
  <si>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</si>
  <si>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</si>
  <si>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</si>
  <si>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</si>
  <si>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</si>
  <si>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average</t>
  </si>
  <si>
    <t>av day 1-4</t>
  </si>
  <si>
    <t>av day 5-8</t>
  </si>
  <si>
    <t>BF Day 1</t>
  </si>
  <si>
    <t>BF Day 2</t>
  </si>
  <si>
    <t>BF Day 3</t>
  </si>
  <si>
    <t>BF Day 4</t>
  </si>
  <si>
    <t>BF Day 5</t>
  </si>
  <si>
    <t>BF Day 6</t>
  </si>
  <si>
    <t>BF Day 7</t>
  </si>
  <si>
    <t>BF Day 8</t>
  </si>
  <si>
    <t>post-BF 1</t>
  </si>
  <si>
    <t>post-BF 2</t>
  </si>
  <si>
    <t>post-BF 3</t>
  </si>
  <si>
    <t>post-BF 4</t>
  </si>
  <si>
    <t>post-BF 5</t>
  </si>
  <si>
    <t>post-BF 6</t>
  </si>
  <si>
    <t>post-BF 7</t>
  </si>
  <si>
    <t>post-BF 8</t>
  </si>
  <si>
    <t>Lu Day 1</t>
  </si>
  <si>
    <t>Lu Day 2</t>
  </si>
  <si>
    <t>Lu Day 3</t>
  </si>
  <si>
    <t>Lu Day 4</t>
  </si>
  <si>
    <t>Lu Day 5</t>
  </si>
  <si>
    <t>Lu Day 6</t>
  </si>
  <si>
    <t>Lu Day 7</t>
  </si>
  <si>
    <t>Lu Day 8</t>
  </si>
  <si>
    <t>Di Day 1</t>
  </si>
  <si>
    <t>Di Day 2</t>
  </si>
  <si>
    <t>Di Day 3</t>
  </si>
  <si>
    <t>Di Day 4</t>
  </si>
  <si>
    <t>Di Day 5</t>
  </si>
  <si>
    <t>Di Day 6</t>
  </si>
  <si>
    <t>Di Day 7</t>
  </si>
  <si>
    <t>Di Day 8</t>
  </si>
  <si>
    <t>PS0`</t>
  </si>
  <si>
    <t>Day 15</t>
  </si>
  <si>
    <t>Day 16</t>
  </si>
  <si>
    <t>Day 17</t>
  </si>
  <si>
    <t>Day 18</t>
  </si>
  <si>
    <t>Average</t>
  </si>
  <si>
    <t>Day 1-4 average</t>
  </si>
  <si>
    <t>Day 15-18 average</t>
  </si>
  <si>
    <t>EI porridge + milk</t>
  </si>
  <si>
    <t>adjusted average</t>
  </si>
  <si>
    <t xml:space="preserve"> = excluded from average due to too much lost data and/or too much recovered data</t>
  </si>
  <si>
    <t>Not sure where the second four days went - not on ActiHeart software</t>
  </si>
  <si>
    <t>SP20</t>
  </si>
  <si>
    <t>kcal/100g</t>
  </si>
  <si>
    <t>kcal/g</t>
  </si>
  <si>
    <t>sugar kcal (30 % kcal total cereal)</t>
  </si>
  <si>
    <t>sugar needed (g)</t>
  </si>
  <si>
    <t>kcal porridge left after removing kcal of sugar</t>
  </si>
  <si>
    <t>porridge (g) to be served</t>
  </si>
  <si>
    <t>TOTAL kcal</t>
  </si>
  <si>
    <t>notes</t>
  </si>
  <si>
    <t>Sainsbury's scottish porridge oats</t>
  </si>
  <si>
    <t xml:space="preserve">Lidl Oatilicious </t>
  </si>
  <si>
    <t>RMR (kcal/d)</t>
  </si>
  <si>
    <t>20 % RMR (kcal)</t>
  </si>
  <si>
    <t>Oat serving (g)</t>
  </si>
  <si>
    <t>kcal oat serving</t>
  </si>
  <si>
    <t>Fat</t>
  </si>
  <si>
    <t>CHO/starch</t>
  </si>
  <si>
    <t>Fast food fat</t>
  </si>
  <si>
    <t>Other</t>
  </si>
  <si>
    <t>Sugary soda</t>
  </si>
  <si>
    <t>Sweetened soda</t>
  </si>
  <si>
    <t>ID</t>
  </si>
  <si>
    <t>BASELINE</t>
  </si>
  <si>
    <t>FOLLOW-UP</t>
  </si>
  <si>
    <t>TOTAL</t>
  </si>
  <si>
    <t>CHANGE</t>
  </si>
  <si>
    <t>Change</t>
  </si>
  <si>
    <t>excluded from analysis (both PLAIN and SWEET)</t>
  </si>
  <si>
    <t>excluded due to Douglas bag leaking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</si>
</sst>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Fill="1"/>
    <xf numFmtId="0" fontId="0" fillId="2" borderId="0" xfId="0" applyFill="1"/>
    <xf numFmtId="165" fontId="0" fillId="0" borderId="0" xfId="0" applyNumberFormat="1"/>
    <xf numFmtId="0" fontId="0" fillId="3" borderId="0" xfId="0" applyFill="1"/>
    <xf numFmtId="2" fontId="0" fillId="3" borderId="0" xfId="0" applyNumberFormat="1" applyFill="1"/>
    <xf numFmtId="165" fontId="0" fillId="0" borderId="0" xfId="0" applyNumberFormat="1" applyFill="1"/>
    <xf numFmtId="1" fontId="0" fillId="3" borderId="0" xfId="0" applyNumberFormat="1" applyFill="1"/>
    <xf numFmtId="1" fontId="0" fillId="0" borderId="0" xfId="0" applyNumberFormat="1" applyFill="1"/>
    <xf numFmtId="1" fontId="3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2" xfId="0" applyFill="1" applyBorder="1"/>
    <xf numFmtId="0" fontId="4" fillId="0" borderId="0" xfId="0" applyFont="1"/>
    <xf numFmtId="0" fontId="0" fillId="3" borderId="2" xfId="0" applyFill="1" applyBorder="1"/>
    <xf numFmtId="0" fontId="0" fillId="0" borderId="0" xfId="0" applyFill="1" applyBorder="1"/>
    <xf numFmtId="0" fontId="5" fillId="0" borderId="0" xfId="0" applyFont="1"/>
    <xf numFmtId="0" fontId="5" fillId="0" borderId="0" xfId="0" applyFont="1" applyBorder="1"/>
    <xf numFmtId="0" fontId="0" fillId="0" borderId="0" xfId="0" applyBorder="1"/>
    <xf numFmtId="0" fontId="0" fillId="0" borderId="3" xfId="0" applyBorder="1"/>
    <xf numFmtId="1" fontId="0" fillId="0" borderId="3" xfId="0" applyNumberFormat="1" applyBorder="1"/>
    <xf numFmtId="0" fontId="3" fillId="0" borderId="0" xfId="0" applyFont="1"/>
    <xf numFmtId="2" fontId="3" fillId="0" borderId="0" xfId="0" applyNumberFormat="1" applyFont="1"/>
    <xf numFmtId="164" fontId="3" fillId="0" borderId="0" xfId="0" applyNumberFormat="1" applyFont="1"/>
    <xf numFmtId="0" fontId="3" fillId="0" borderId="3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6" fillId="0" borderId="0" xfId="0" applyFont="1"/>
    <xf numFmtId="0" fontId="6" fillId="0" borderId="0" xfId="0" applyFont="1" applyBorder="1"/>
    <xf numFmtId="0" fontId="3" fillId="0" borderId="0" xfId="0" applyFont="1" applyFill="1"/>
    <xf numFmtId="164" fontId="0" fillId="0" borderId="0" xfId="0" applyNumberFormat="1" applyFill="1"/>
    <xf numFmtId="0" fontId="0" fillId="4" borderId="0" xfId="0" applyFill="1"/>
    <xf numFmtId="165" fontId="3" fillId="0" borderId="0" xfId="0" applyNumberFormat="1" applyFont="1"/>
    <xf numFmtId="2" fontId="0" fillId="0" borderId="0" xfId="0" applyNumberFormat="1" applyFill="1"/>
    <xf numFmtId="0" fontId="3" fillId="0" borderId="0" xfId="0" applyNumberFormat="1" applyFont="1"/>
    <xf numFmtId="2" fontId="3" fillId="0" borderId="0" xfId="0" applyNumberFormat="1" applyFont="1" applyFill="1"/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</xdr:row>
      <xdr:rowOff>66675</xdr:rowOff>
    </xdr:from>
    <xdr:to>
      <xdr:col>14</xdr:col>
      <xdr:colOff>123825</xdr:colOff>
      <xdr:row>18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1025" y="257175"/>
          <a:ext cx="8077200" cy="320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Dataset</a:t>
          </a:r>
          <a:r>
            <a:rPr lang="en-GB" sz="1100" baseline="0"/>
            <a:t> for the project "The effect of a sugar-sweetened versus plain isocaloric porridge-based breakfast for 3 weeks on appetite and health"</a:t>
          </a:r>
        </a:p>
        <a:p>
          <a:endParaRPr lang="en-GB" sz="1100" baseline="0"/>
        </a:p>
        <a:p>
          <a:r>
            <a:rPr lang="en-GB" sz="1100" baseline="0"/>
            <a:t>This project aimed to assess the health and appetitive effects of a sweet versus plain porridge on appetite and health, using a randomised crossover design, n = 29 (n = 7 men)</a:t>
          </a:r>
        </a:p>
        <a:p>
          <a:endParaRPr lang="en-GB" sz="1100" baseline="0"/>
        </a:p>
        <a:p>
          <a:r>
            <a:rPr lang="en-GB" sz="1100" baseline="0"/>
            <a:t>Pre- and post-intervention, participants came to the lab in a fasted state and had a range of measures taken. All blood measures given are in an overnight (&gt; 8 h) fasted state (glucose, cholesterol, TAG, insulin, GLP-1, FGF-21). </a:t>
          </a:r>
        </a:p>
        <a:p>
          <a:endParaRPr lang="en-GB" sz="1100" baseline="0"/>
        </a:p>
        <a:p>
          <a:r>
            <a:rPr lang="en-GB" sz="1100" baseline="0"/>
            <a:t>During each 3 week intervention, participants recorded their lifestyle for two 4-day periods; days 1-4 and days 15-18. </a:t>
          </a:r>
        </a:p>
        <a:p>
          <a:endParaRPr lang="en-GB" sz="1100" baseline="0"/>
        </a:p>
        <a:p>
          <a:r>
            <a:rPr lang="en-GB" sz="1100" baseline="0"/>
            <a:t>Comments have been left over data where problems have arisen (e.g. invalid data). Greyed out cells with no comment mean the data are missing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34636</xdr:colOff>
      <xdr:row>2</xdr:row>
      <xdr:rowOff>103909</xdr:rowOff>
    </xdr:from>
    <xdr:to>
      <xdr:col>17</xdr:col>
      <xdr:colOff>363682</xdr:colOff>
      <xdr:row>10</xdr:row>
      <xdr:rowOff>103909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3B15FC-EED9-44C1-B353-6FEBE8EF8505}"/>
            </a:ext>
          </a:extLst>
        </xdr:cNvPr>
        <xdr:cNvSpPr txBox="1"/>
      </xdr:nvSpPr>
      <xdr:spPr>
        <a:xfrm>
          <a:off x="4277591" y="484909"/>
          <a:ext cx="6390409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Greyed out =</a:t>
          </a:r>
          <a:r>
            <a:rPr lang="en-GB" sz="1100" baseline="0"/>
            <a:t> couldn't get a blood sample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0.2921</a:t>
          </a:r>
          <a:r>
            <a:rPr lang="en-GB"/>
            <a:t> </a:t>
          </a:r>
        </a:p>
        <a:p>
          <a:endParaRPr lang="en-GB" sz="1100"/>
        </a:p>
        <a:p>
          <a:r>
            <a:rPr lang="en-GB" sz="1100"/>
            <a:t>0.2920 pmol/L = the value was below the detectable range of 0.2921</a:t>
          </a:r>
        </a:p>
        <a:p>
          <a:endParaRPr lang="en-GB" sz="1100"/>
        </a:p>
        <a:p>
          <a:r>
            <a:rPr lang="en-GB" sz="1100"/>
            <a:t>below detectable range</a:t>
          </a:r>
          <a:r>
            <a:rPr lang="en-GB" sz="1100" baseline="0"/>
            <a:t> = 6 pmol/l</a:t>
          </a:r>
          <a:endParaRPr lang="en-GB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484909</xdr:colOff>
      <xdr:row>1</xdr:row>
      <xdr:rowOff>103909</xdr:rowOff>
    </xdr:from>
    <xdr:to>
      <xdr:col>17</xdr:col>
      <xdr:colOff>207818</xdr:colOff>
      <xdr:row>9</xdr:row>
      <xdr:rowOff>103909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297729-338B-4AC7-BB57-21B5EA769080}"/>
            </a:ext>
          </a:extLst>
        </xdr:cNvPr>
        <xdr:cNvSpPr txBox="1"/>
      </xdr:nvSpPr>
      <xdr:spPr>
        <a:xfrm>
          <a:off x="4121727" y="294409"/>
          <a:ext cx="6390409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Greyed out =</a:t>
          </a:r>
          <a:r>
            <a:rPr lang="en-GB" sz="1100" baseline="0"/>
            <a:t> couldn't get a blood sample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0.2921</a:t>
          </a:r>
          <a:r>
            <a:rPr lang="en-GB"/>
            <a:t> </a:t>
          </a:r>
        </a:p>
        <a:p>
          <a:endParaRPr lang="en-GB" sz="1100"/>
        </a:p>
        <a:p>
          <a:r>
            <a:rPr lang="en-GB" sz="1100"/>
            <a:t>0.2920 pmol/L = the value was below the detectable range of 0.2921</a:t>
          </a:r>
        </a:p>
        <a:p>
          <a:endParaRPr lang="en-GB" sz="1100"/>
        </a:p>
        <a:p>
          <a:r>
            <a:rPr lang="en-GB" sz="1100"/>
            <a:t>below detectable range</a:t>
          </a:r>
          <a:r>
            <a:rPr lang="en-GB" sz="1100" baseline="0"/>
            <a:t> = 6 pmol/l</a:t>
          </a:r>
          <a:endParaRPr lang="en-GB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103909</xdr:colOff>
      <xdr:row>2</xdr:row>
      <xdr:rowOff>34636</xdr:rowOff>
    </xdr:from>
    <xdr:to>
      <xdr:col>13</xdr:col>
      <xdr:colOff>502228</xdr:colOff>
      <xdr:row>10</xdr:row>
      <xdr:rowOff>34636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/>
      </xdr:nvSpPr>
      <xdr:spPr>
        <a:xfrm>
          <a:off x="4346864" y="415636"/>
          <a:ext cx="6390409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Greyed out =</a:t>
          </a:r>
          <a:r>
            <a:rPr lang="en-GB" sz="1100" baseline="0"/>
            <a:t> couldn't get a blood sample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0.2921</a:t>
          </a:r>
          <a:r>
            <a:rPr lang="en-GB"/>
            <a:t> </a:t>
          </a:r>
        </a:p>
        <a:p>
          <a:endParaRPr lang="en-GB" sz="1100"/>
        </a:p>
        <a:p>
          <a:r>
            <a:rPr lang="en-GB" sz="1100"/>
            <a:t>0.2920 pmol/L = the value was below the detectable range of 0.2921</a:t>
          </a:r>
        </a:p>
        <a:p>
          <a:endParaRPr lang="en-GB" sz="1100"/>
        </a:p>
        <a:p>
          <a:r>
            <a:rPr lang="en-GB" sz="1100"/>
            <a:t>below detectable range</a:t>
          </a:r>
          <a:r>
            <a:rPr lang="en-GB" sz="1100" baseline="0"/>
            <a:t> = 6 pmol/l</a:t>
          </a:r>
          <a:endParaRPr lang="en-GB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</xdr:row>
      <xdr:rowOff>133350</xdr:rowOff>
    </xdr:from>
    <xdr:to>
      <xdr:col>10</xdr:col>
      <xdr:colOff>142875</xdr:colOff>
      <xdr:row>12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561975" y="323850"/>
          <a:ext cx="5676900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Data in the following pages are from</a:t>
          </a:r>
          <a:r>
            <a:rPr lang="en-GB" sz="1100" baseline="0"/>
            <a:t> intervention periods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0</xdr:rowOff>
    </xdr:from>
    <xdr:to>
      <xdr:col>8</xdr:col>
      <xdr:colOff>600075</xdr:colOff>
      <xdr:row>12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2475" y="381000"/>
          <a:ext cx="4724400" cy="1924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Data in the following pages are from the lab sessions.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117763</xdr:colOff>
      <xdr:row>0</xdr:row>
      <xdr:rowOff>127289</xdr:rowOff>
    </xdr:from>
    <xdr:to>
      <xdr:col>42</xdr:col>
      <xdr:colOff>371475</xdr:colOff>
      <xdr:row>8</xdr:row>
      <xdr:rowOff>108239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21332536" y="127289"/>
          <a:ext cx="4496666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Food craving inventory provides</a:t>
          </a:r>
          <a:r>
            <a:rPr lang="en-GB" sz="1100" baseline="0"/>
            <a:t> answers A (never) to E (always/almost every day). These letters have been converted to numbers whereby A = 1, B = 2 etc, and these scores have been added to create an overall score for the inventory. </a:t>
          </a:r>
        </a:p>
        <a:p>
          <a:endParaRPr lang="en-GB" sz="1100" baseline="0"/>
        </a:p>
        <a:p>
          <a:r>
            <a:rPr lang="en-GB" sz="1100" baseline="0"/>
            <a:t>I.e. minimum score (low craving for the listed foods = 39); maximum score (highest craving for the listed foods) = 195</a:t>
          </a:r>
          <a:endParaRPr lang="en-GB" sz="1100"/>
        </a:p>
      </xdr:txBody>
    </xdr:sp>
    <xdr:clientData/>
  </xdr:twoCellAnchor>
  <xdr:twoCellAnchor>
    <xdr:from>
      <xdr:col>35</xdr:col>
      <xdr:colOff>114299</xdr:colOff>
      <xdr:row>9</xdr:row>
      <xdr:rowOff>141143</xdr:rowOff>
    </xdr:from>
    <xdr:to>
      <xdr:col>42</xdr:col>
      <xdr:colOff>415636</xdr:colOff>
      <xdr:row>24</xdr:row>
      <xdr:rowOff>86591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/>
      </xdr:nvSpPr>
      <xdr:spPr>
        <a:xfrm>
          <a:off x="21329072" y="1855643"/>
          <a:ext cx="4544291" cy="2802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Food factors:</a:t>
          </a:r>
        </a:p>
        <a:p>
          <a:r>
            <a:rPr lang="en-GB" sz="1400"/>
            <a:t>high fat (min score 8, max score 40)</a:t>
          </a:r>
        </a:p>
        <a:p>
          <a:r>
            <a:rPr lang="en-GB" sz="1400"/>
            <a:t>sweet (min score 8, max score 40)</a:t>
          </a:r>
        </a:p>
        <a:p>
          <a:r>
            <a:rPr lang="en-GB" sz="1400"/>
            <a:t>CHO/starch (min score 8, max score 40)</a:t>
          </a:r>
        </a:p>
        <a:p>
          <a:r>
            <a:rPr lang="en-GB" sz="1400"/>
            <a:t>fast food</a:t>
          </a:r>
          <a:r>
            <a:rPr lang="en-GB" sz="1400" baseline="0"/>
            <a:t> fat (min score 4, max score 20)</a:t>
          </a:r>
          <a:endParaRPr lang="en-GB" sz="1400"/>
        </a:p>
        <a:p>
          <a:r>
            <a:rPr lang="en-GB" sz="1400"/>
            <a:t>Other (non-validated)</a:t>
          </a:r>
          <a:r>
            <a:rPr lang="en-GB" sz="1400" baseline="0"/>
            <a:t> (min score 9, max score 45)</a:t>
          </a:r>
          <a:endParaRPr lang="en-GB" sz="1400"/>
        </a:p>
        <a:p>
          <a:r>
            <a:rPr lang="en-GB" sz="1400"/>
            <a:t>Drinks</a:t>
          </a:r>
          <a:r>
            <a:rPr lang="en-GB" sz="1400" baseline="0"/>
            <a:t> (non-validated) </a:t>
          </a:r>
          <a:endParaRPr lang="en-GB" sz="1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342900</xdr:colOff>
      <xdr:row>1</xdr:row>
      <xdr:rowOff>171450</xdr:rowOff>
    </xdr:from>
    <xdr:to>
      <xdr:col>48</xdr:col>
      <xdr:colOff>9525</xdr:colOff>
      <xdr:row>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24726900" y="361950"/>
          <a:ext cx="454342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The modified FCI form (lab 1 only) asks participants to tick whether they would typically consume</a:t>
          </a:r>
          <a:r>
            <a:rPr lang="en-GB" sz="1100" baseline="0"/>
            <a:t> each food if it was available and they craved it. On this sheet, 1 = ticked</a:t>
          </a:r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357867</xdr:colOff>
      <xdr:row>4</xdr:row>
      <xdr:rowOff>122463</xdr:rowOff>
    </xdr:from>
    <xdr:to>
      <xdr:col>16</xdr:col>
      <xdr:colOff>291192</xdr:colOff>
      <xdr:row>13</xdr:row>
      <xdr:rowOff>74838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6481081" y="884463"/>
          <a:ext cx="3607254" cy="2428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In the modified FCI (lab 1 only), participants are asked whether they think each food is sweet, savoury, salty, or fatty. </a:t>
          </a:r>
        </a:p>
        <a:p>
          <a:r>
            <a:rPr lang="en-GB" sz="1100"/>
            <a:t>On</a:t>
          </a:r>
          <a:r>
            <a:rPr lang="en-GB" sz="1100" baseline="0"/>
            <a:t> this page, these have been coded as:</a:t>
          </a:r>
        </a:p>
        <a:p>
          <a:r>
            <a:rPr lang="en-GB" sz="1100" baseline="0"/>
            <a:t>1 = sweet</a:t>
          </a:r>
        </a:p>
        <a:p>
          <a:r>
            <a:rPr lang="en-GB" sz="1100" baseline="0"/>
            <a:t>2 = savoury</a:t>
          </a:r>
        </a:p>
        <a:p>
          <a:r>
            <a:rPr lang="en-GB" sz="1100" baseline="0"/>
            <a:t>3 = salty</a:t>
          </a:r>
        </a:p>
        <a:p>
          <a:r>
            <a:rPr lang="en-GB" sz="1100" baseline="0"/>
            <a:t>4 = fatty</a:t>
          </a:r>
        </a:p>
        <a:p>
          <a:r>
            <a:rPr lang="en-GB" sz="1100" baseline="0"/>
            <a:t>5 = other</a:t>
          </a:r>
        </a:p>
        <a:p>
          <a:r>
            <a:rPr lang="en-GB" sz="1100" baseline="0"/>
            <a:t>0 = do not know</a:t>
          </a:r>
        </a:p>
        <a:p>
          <a:endParaRPr lang="en-GB" sz="1100" baseline="0"/>
        </a:p>
        <a:p>
          <a:r>
            <a:rPr lang="en-GB" sz="1100" baseline="0"/>
            <a:t>Where participants have put &gt; 1 answer, the 2 scores have been combined in numeric order. E.g. 12 = sweet and savoury; 24 = savoury and fatty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0</xdr:row>
      <xdr:rowOff>142874</xdr:rowOff>
    </xdr:from>
    <xdr:to>
      <xdr:col>14</xdr:col>
      <xdr:colOff>142875</xdr:colOff>
      <xdr:row>18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5962650" y="142874"/>
          <a:ext cx="2714625" cy="3000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In the modified FCI (lab 1 only) participants are asked</a:t>
          </a:r>
          <a:r>
            <a:rPr lang="en-GB" sz="1100" baseline="0"/>
            <a:t> if there are any additional foods they would typically consume if they craved it, and whether they think this is sweet, savoury, salty or fatty, coded as:</a:t>
          </a:r>
        </a:p>
        <a:p>
          <a:endParaRPr lang="en-GB" sz="1100" baseline="0"/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= sweet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= savoury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= salty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= fatty</a:t>
          </a:r>
          <a:endParaRPr lang="en-GB">
            <a:effectLst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participants have put &gt; 1 answer, the 2 scores have been combined in numeric order. E.g. 12 = sweet and savoury; 24 = savoury and fatty</a:t>
          </a:r>
          <a:endParaRPr lang="en-GB">
            <a:effectLst/>
          </a:endParaRPr>
        </a:p>
        <a:p>
          <a:endParaRPr lang="en-GB" sz="1100"/>
        </a:p>
        <a:p>
          <a:r>
            <a:rPr lang="en-GB" sz="1100"/>
            <a:t>Participants</a:t>
          </a:r>
          <a:r>
            <a:rPr lang="en-GB" sz="1100" baseline="0"/>
            <a:t> left blank had no additions</a:t>
          </a:r>
          <a:endParaRPr lang="en-GB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1</xdr:row>
      <xdr:rowOff>76200</xdr:rowOff>
    </xdr:from>
    <xdr:to>
      <xdr:col>17</xdr:col>
      <xdr:colOff>85725</xdr:colOff>
      <xdr:row>11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5724525" y="266700"/>
          <a:ext cx="4724400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For the morningness-eveningness questionnaire, a score is given which corresponds</a:t>
          </a:r>
          <a:r>
            <a:rPr lang="en-GB" sz="1100" baseline="0"/>
            <a:t> to a chronotype:</a:t>
          </a:r>
        </a:p>
        <a:p>
          <a:endParaRPr lang="en-GB" sz="1100" baseline="0"/>
        </a:p>
        <a:p>
          <a:r>
            <a:rPr lang="en-GB" sz="1100" baseline="0"/>
            <a:t>16-30 = definite evening (red)</a:t>
          </a:r>
        </a:p>
        <a:p>
          <a:r>
            <a:rPr lang="en-GB" sz="1100" baseline="0"/>
            <a:t>31-41 = moderate evening (red)</a:t>
          </a:r>
        </a:p>
        <a:p>
          <a:r>
            <a:rPr lang="en-GB" sz="1100" baseline="0"/>
            <a:t>42-58 = intermediate (yellow)</a:t>
          </a:r>
        </a:p>
        <a:p>
          <a:r>
            <a:rPr lang="en-GB" sz="1100" baseline="0"/>
            <a:t>59-69 = moderate morning (green)</a:t>
          </a:r>
        </a:p>
        <a:p>
          <a:r>
            <a:rPr lang="en-GB" sz="1100" baseline="0"/>
            <a:t>70-86 = definite morning (green)</a:t>
          </a:r>
        </a:p>
        <a:p>
          <a:endParaRPr lang="en-GB" sz="1100" baseline="0"/>
        </a:p>
        <a:p>
          <a:endParaRPr lang="en-GB" sz="1100" baseline="0"/>
        </a:p>
        <a:p>
          <a:r>
            <a:rPr lang="en-GB" sz="1100" baseline="0"/>
            <a:t>Larks: 15 %</a:t>
          </a:r>
        </a:p>
        <a:p>
          <a:r>
            <a:rPr lang="en-GB" sz="1100" baseline="0"/>
            <a:t>Intermediates: 60 %</a:t>
          </a:r>
        </a:p>
        <a:p>
          <a:r>
            <a:rPr lang="en-GB" sz="1100" baseline="0"/>
            <a:t>Owls: 25 %</a:t>
          </a:r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136071</xdr:colOff>
      <xdr:row>4</xdr:row>
      <xdr:rowOff>68036</xdr:rowOff>
    </xdr:from>
    <xdr:to>
      <xdr:col>23</xdr:col>
      <xdr:colOff>476250</xdr:colOff>
      <xdr:row>11</xdr:row>
      <xdr:rowOff>81643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/>
      </xdr:nvSpPr>
      <xdr:spPr>
        <a:xfrm>
          <a:off x="8096250" y="830036"/>
          <a:ext cx="6463393" cy="19186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Scoring: blank = TRUE score 1 point; - FALSE</a:t>
          </a:r>
          <a:r>
            <a:rPr lang="en-GB" sz="1100" baseline="0"/>
            <a:t> score 1 point</a:t>
          </a:r>
        </a:p>
        <a:p>
          <a:endParaRPr lang="en-GB" sz="1100" baseline="0"/>
        </a:p>
        <a:p>
          <a:r>
            <a:rPr lang="en-GB" sz="1100" baseline="0"/>
            <a:t>/ = CD score 1 point</a:t>
          </a:r>
        </a:p>
        <a:p>
          <a:r>
            <a:rPr lang="en-GB" sz="1100" baseline="0"/>
            <a:t>- = AB score 1 point</a:t>
          </a:r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138546</xdr:colOff>
      <xdr:row>2</xdr:row>
      <xdr:rowOff>0</xdr:rowOff>
    </xdr:from>
    <xdr:to>
      <xdr:col>17</xdr:col>
      <xdr:colOff>467592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500FD5A-5BD9-4956-9D27-A6512A7F5176}"/>
            </a:ext>
          </a:extLst>
        </xdr:cNvPr>
        <xdr:cNvSpPr txBox="1"/>
      </xdr:nvSpPr>
      <xdr:spPr>
        <a:xfrm>
          <a:off x="4381501" y="381000"/>
          <a:ext cx="6390409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Greyed out =</a:t>
          </a:r>
          <a:r>
            <a:rPr lang="en-GB" sz="1100" baseline="0"/>
            <a:t> couldn't get a blood sample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0.2921</a:t>
          </a:r>
          <a:r>
            <a:rPr lang="en-GB"/>
            <a:t> </a:t>
          </a:r>
        </a:p>
        <a:p>
          <a:endParaRPr lang="en-GB" sz="1100"/>
        </a:p>
        <a:p>
          <a:r>
            <a:rPr lang="en-GB" sz="1100"/>
            <a:t>0.2920 pmol/L = the value was below the detectable range of 0.2921</a:t>
          </a:r>
        </a:p>
        <a:p>
          <a:endParaRPr lang="en-GB" sz="1100"/>
        </a:p>
        <a:p>
          <a:r>
            <a:rPr lang="en-GB" sz="1100"/>
            <a:t>below detectable range</a:t>
          </a:r>
          <a:r>
            <a:rPr lang="en-GB" sz="1100" baseline="0"/>
            <a:t> = 6 pmol/l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6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42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43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44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45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46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47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48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49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0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52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53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54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5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I24" sqref="I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6"/>
  <sheetViews>
    <sheetView zoomScale="55" zoomScaleNormal="55" workbookViewId="0">
      <selection activeCell="K39" sqref="K39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190</v>
      </c>
      <c r="C1" s="25" t="s">
        <v>191</v>
      </c>
      <c r="E1" s="25" t="s">
        <v>85</v>
      </c>
    </row>
    <row r="2" spans="1:5" x14ac:dyDescent="0.25">
      <c r="A2" t="s">
        <v>3</v>
      </c>
      <c r="B2">
        <v>75</v>
      </c>
      <c r="C2">
        <v>77</v>
      </c>
      <c r="E2">
        <f>C2-B2</f>
        <v>2</v>
      </c>
    </row>
    <row r="3" spans="1:5" x14ac:dyDescent="0.25">
      <c r="A3" t="s">
        <v>13</v>
      </c>
      <c r="B3">
        <v>74</v>
      </c>
      <c r="C3">
        <v>77</v>
      </c>
      <c r="E3">
        <f t="shared" ref="E3:E61" si="0">C3-B3</f>
        <v>3</v>
      </c>
    </row>
    <row r="4" spans="1:5" x14ac:dyDescent="0.25">
      <c r="A4" t="s">
        <v>68</v>
      </c>
      <c r="B4">
        <v>82</v>
      </c>
      <c r="C4">
        <v>74</v>
      </c>
      <c r="E4">
        <f t="shared" si="0"/>
        <v>-8</v>
      </c>
    </row>
    <row r="5" spans="1:5" x14ac:dyDescent="0.25">
      <c r="A5" t="s">
        <v>69</v>
      </c>
      <c r="B5">
        <v>74</v>
      </c>
      <c r="C5">
        <v>77</v>
      </c>
      <c r="E5">
        <f t="shared" si="0"/>
        <v>3</v>
      </c>
    </row>
    <row r="6" spans="1:5" x14ac:dyDescent="0.25">
      <c r="A6" t="s">
        <v>70</v>
      </c>
      <c r="B6">
        <v>74</v>
      </c>
      <c r="C6">
        <v>74</v>
      </c>
      <c r="E6">
        <f t="shared" si="0"/>
        <v>0</v>
      </c>
    </row>
    <row r="7" spans="1:5" x14ac:dyDescent="0.25">
      <c r="A7" t="s">
        <v>74</v>
      </c>
      <c r="B7">
        <v>71</v>
      </c>
      <c r="C7">
        <v>75</v>
      </c>
      <c r="E7">
        <f t="shared" si="0"/>
        <v>4</v>
      </c>
    </row>
    <row r="8" spans="1:5" x14ac:dyDescent="0.25">
      <c r="A8" t="s">
        <v>79</v>
      </c>
      <c r="B8">
        <v>73</v>
      </c>
      <c r="C8">
        <v>70</v>
      </c>
      <c r="E8">
        <f t="shared" si="0"/>
        <v>-3</v>
      </c>
    </row>
    <row r="9" spans="1:5" x14ac:dyDescent="0.25">
      <c r="A9" t="s">
        <v>80</v>
      </c>
      <c r="B9">
        <v>74</v>
      </c>
      <c r="C9">
        <v>83</v>
      </c>
      <c r="E9">
        <f t="shared" si="0"/>
        <v>9</v>
      </c>
    </row>
    <row r="10" spans="1:5" x14ac:dyDescent="0.25">
      <c r="A10" t="s">
        <v>86</v>
      </c>
      <c r="B10">
        <v>77</v>
      </c>
      <c r="C10">
        <v>69</v>
      </c>
      <c r="E10">
        <f t="shared" si="0"/>
        <v>-8</v>
      </c>
    </row>
    <row r="11" spans="1:5" x14ac:dyDescent="0.25">
      <c r="A11" t="s">
        <v>92</v>
      </c>
      <c r="B11">
        <v>64</v>
      </c>
      <c r="C11">
        <v>70</v>
      </c>
      <c r="E11">
        <f t="shared" si="0"/>
        <v>6</v>
      </c>
    </row>
    <row r="12" spans="1:5" x14ac:dyDescent="0.25">
      <c r="A12" t="s">
        <v>93</v>
      </c>
      <c r="B12">
        <v>83</v>
      </c>
      <c r="C12">
        <v>81</v>
      </c>
      <c r="E12">
        <f t="shared" si="0"/>
        <v>-2</v>
      </c>
    </row>
    <row r="13" spans="1:5" x14ac:dyDescent="0.25">
      <c r="A13" t="s">
        <v>110</v>
      </c>
      <c r="B13">
        <v>79</v>
      </c>
      <c r="C13">
        <v>80</v>
      </c>
      <c r="E13">
        <f t="shared" si="0"/>
        <v>1</v>
      </c>
    </row>
    <row r="14" spans="1:5" x14ac:dyDescent="0.25">
      <c r="A14" t="s">
        <v>120</v>
      </c>
      <c r="B14">
        <v>70</v>
      </c>
      <c r="C14">
        <v>64</v>
      </c>
      <c r="E14">
        <f t="shared" si="0"/>
        <v>-6</v>
      </c>
    </row>
    <row r="15" spans="1:5" x14ac:dyDescent="0.25">
      <c r="A15" t="s">
        <v>125</v>
      </c>
      <c r="B15">
        <v>76</v>
      </c>
      <c r="C15">
        <v>83</v>
      </c>
      <c r="E15">
        <f t="shared" si="0"/>
        <v>7</v>
      </c>
    </row>
    <row r="16" spans="1:5" x14ac:dyDescent="0.25">
      <c r="A16" t="s">
        <v>130</v>
      </c>
      <c r="B16">
        <v>79</v>
      </c>
      <c r="C16">
        <v>82</v>
      </c>
      <c r="E16">
        <f t="shared" si="0"/>
        <v>3</v>
      </c>
    </row>
    <row r="17" spans="1:5" x14ac:dyDescent="0.25">
      <c r="A17" t="s">
        <v>145</v>
      </c>
      <c r="B17">
        <v>88</v>
      </c>
      <c r="C17">
        <v>89</v>
      </c>
      <c r="E17">
        <f t="shared" si="0"/>
        <v>1</v>
      </c>
    </row>
    <row r="18" spans="1:5" x14ac:dyDescent="0.25">
      <c r="A18" t="s">
        <v>144</v>
      </c>
      <c r="B18">
        <v>69</v>
      </c>
      <c r="C18">
        <v>65</v>
      </c>
      <c r="E18">
        <f t="shared" si="0"/>
        <v>-4</v>
      </c>
    </row>
    <row r="19" spans="1:5" x14ac:dyDescent="0.25">
      <c r="A19" t="s">
        <v>132</v>
      </c>
      <c r="B19">
        <v>78</v>
      </c>
      <c r="C19">
        <v>76</v>
      </c>
      <c r="E19">
        <f t="shared" si="0"/>
        <v>-2</v>
      </c>
    </row>
    <row r="20" spans="1:5" x14ac:dyDescent="0.25">
      <c r="A20" t="s">
        <v>146</v>
      </c>
      <c r="B20">
        <v>73</v>
      </c>
      <c r="C20">
        <v>78</v>
      </c>
      <c r="E20">
        <f t="shared" si="0"/>
        <v>5</v>
      </c>
    </row>
    <row r="21" spans="1:5" x14ac:dyDescent="0.25">
      <c r="A21" t="s">
        <v>147</v>
      </c>
      <c r="B21">
        <v>69</v>
      </c>
      <c r="C21">
        <v>69</v>
      </c>
      <c r="E21">
        <f t="shared" si="0"/>
        <v>0</v>
      </c>
    </row>
    <row r="22" spans="1:5" x14ac:dyDescent="0.25">
      <c r="A22" t="s">
        <v>155</v>
      </c>
      <c r="B22">
        <v>65</v>
      </c>
      <c r="C22">
        <v>76</v>
      </c>
      <c r="E22">
        <f t="shared" si="0"/>
        <v>11</v>
      </c>
    </row>
    <row r="23" spans="1:5" x14ac:dyDescent="0.25">
      <c r="A23" t="s">
        <v>158</v>
      </c>
      <c r="B23">
        <v>73</v>
      </c>
      <c r="C23">
        <v>76</v>
      </c>
      <c r="E23">
        <f t="shared" si="0"/>
        <v>3</v>
      </c>
    </row>
    <row r="24" spans="1:5" x14ac:dyDescent="0.25">
      <c r="A24" t="s">
        <v>162</v>
      </c>
      <c r="B24">
        <v>80</v>
      </c>
      <c r="C24">
        <v>82</v>
      </c>
      <c r="E24">
        <f t="shared" si="0"/>
        <v>2</v>
      </c>
    </row>
    <row r="25" spans="1:5" x14ac:dyDescent="0.25">
      <c r="A25" t="s">
        <v>160</v>
      </c>
      <c r="B25">
        <v>83</v>
      </c>
      <c r="C25">
        <v>89</v>
      </c>
      <c r="E25">
        <f t="shared" si="0"/>
        <v>6</v>
      </c>
    </row>
    <row r="26" spans="1:5" x14ac:dyDescent="0.25">
      <c r="A26" t="s">
        <v>173</v>
      </c>
      <c r="B26">
        <v>77</v>
      </c>
      <c r="C26">
        <v>76</v>
      </c>
      <c r="E26">
        <f t="shared" si="0"/>
        <v>-1</v>
      </c>
    </row>
    <row r="27" spans="1:5" x14ac:dyDescent="0.25">
      <c r="A27" t="s">
        <v>174</v>
      </c>
      <c r="B27">
        <v>83</v>
      </c>
      <c r="C27">
        <v>76</v>
      </c>
      <c r="E27">
        <f t="shared" si="0"/>
        <v>-7</v>
      </c>
    </row>
    <row r="28" spans="1:5" x14ac:dyDescent="0.25">
      <c r="A28" t="s">
        <v>175</v>
      </c>
      <c r="B28">
        <v>82</v>
      </c>
      <c r="C28">
        <v>83</v>
      </c>
      <c r="E28">
        <f t="shared" si="0"/>
        <v>1</v>
      </c>
    </row>
    <row r="29" spans="1:5" x14ac:dyDescent="0.25">
      <c r="A29" t="s">
        <v>187</v>
      </c>
      <c r="B29">
        <v>82</v>
      </c>
      <c r="C29" s="1">
        <f>(74+77+79)/3</f>
        <v>76.666666666666671</v>
      </c>
      <c r="E29" s="1">
        <f t="shared" si="0"/>
        <v>-5.3333333333333286</v>
      </c>
    </row>
    <row r="30" spans="1:5" x14ac:dyDescent="0.25">
      <c r="A30" t="s">
        <v>186</v>
      </c>
      <c r="B30">
        <v>84</v>
      </c>
      <c r="C30">
        <v>80</v>
      </c>
      <c r="E30">
        <f t="shared" si="0"/>
        <v>-4</v>
      </c>
    </row>
    <row r="32" spans="1:5" s="25" customFormat="1" x14ac:dyDescent="0.25">
      <c r="A32" s="25" t="s">
        <v>1</v>
      </c>
    </row>
    <row r="33" spans="1:5" x14ac:dyDescent="0.25">
      <c r="A33" t="s">
        <v>3</v>
      </c>
      <c r="B33">
        <v>75</v>
      </c>
      <c r="C33">
        <v>73</v>
      </c>
      <c r="E33">
        <f t="shared" si="0"/>
        <v>-2</v>
      </c>
    </row>
    <row r="34" spans="1:5" x14ac:dyDescent="0.25">
      <c r="A34" t="s">
        <v>13</v>
      </c>
      <c r="B34">
        <v>79</v>
      </c>
      <c r="C34">
        <v>81</v>
      </c>
      <c r="E34">
        <f t="shared" si="0"/>
        <v>2</v>
      </c>
    </row>
    <row r="35" spans="1:5" x14ac:dyDescent="0.25">
      <c r="A35" t="s">
        <v>68</v>
      </c>
      <c r="B35">
        <v>76</v>
      </c>
      <c r="C35">
        <v>81</v>
      </c>
      <c r="E35">
        <f t="shared" si="0"/>
        <v>5</v>
      </c>
    </row>
    <row r="36" spans="1:5" x14ac:dyDescent="0.25">
      <c r="A36" t="s">
        <v>69</v>
      </c>
      <c r="B36">
        <v>70</v>
      </c>
      <c r="C36">
        <v>76</v>
      </c>
      <c r="E36">
        <f t="shared" si="0"/>
        <v>6</v>
      </c>
    </row>
    <row r="37" spans="1:5" x14ac:dyDescent="0.25">
      <c r="A37" t="s">
        <v>70</v>
      </c>
      <c r="B37">
        <v>77</v>
      </c>
      <c r="C37">
        <v>74</v>
      </c>
      <c r="E37">
        <f t="shared" si="0"/>
        <v>-3</v>
      </c>
    </row>
    <row r="38" spans="1:5" x14ac:dyDescent="0.25">
      <c r="A38" t="s">
        <v>74</v>
      </c>
      <c r="B38">
        <v>72</v>
      </c>
      <c r="C38">
        <v>82</v>
      </c>
      <c r="E38">
        <f t="shared" si="0"/>
        <v>10</v>
      </c>
    </row>
    <row r="39" spans="1:5" x14ac:dyDescent="0.25">
      <c r="A39" t="s">
        <v>79</v>
      </c>
      <c r="B39">
        <v>70</v>
      </c>
      <c r="C39">
        <v>77</v>
      </c>
      <c r="E39">
        <f t="shared" si="0"/>
        <v>7</v>
      </c>
    </row>
    <row r="40" spans="1:5" x14ac:dyDescent="0.25">
      <c r="A40" t="s">
        <v>80</v>
      </c>
      <c r="B40">
        <v>76</v>
      </c>
      <c r="C40">
        <v>82</v>
      </c>
      <c r="E40">
        <f t="shared" si="0"/>
        <v>6</v>
      </c>
    </row>
    <row r="41" spans="1:5" x14ac:dyDescent="0.25">
      <c r="A41" t="s">
        <v>86</v>
      </c>
      <c r="B41">
        <v>78</v>
      </c>
      <c r="C41">
        <v>71</v>
      </c>
      <c r="E41">
        <f t="shared" si="0"/>
        <v>-7</v>
      </c>
    </row>
    <row r="42" spans="1:5" x14ac:dyDescent="0.25">
      <c r="A42" t="s">
        <v>92</v>
      </c>
      <c r="B42">
        <v>68</v>
      </c>
      <c r="C42">
        <v>71</v>
      </c>
      <c r="E42">
        <f t="shared" si="0"/>
        <v>3</v>
      </c>
    </row>
    <row r="43" spans="1:5" x14ac:dyDescent="0.25">
      <c r="A43" t="s">
        <v>93</v>
      </c>
      <c r="B43">
        <v>79</v>
      </c>
      <c r="C43">
        <v>89</v>
      </c>
      <c r="E43">
        <f t="shared" si="0"/>
        <v>10</v>
      </c>
    </row>
    <row r="44" spans="1:5" x14ac:dyDescent="0.25">
      <c r="A44" t="s">
        <v>110</v>
      </c>
      <c r="B44">
        <v>83</v>
      </c>
      <c r="C44">
        <v>83</v>
      </c>
      <c r="E44">
        <f t="shared" si="0"/>
        <v>0</v>
      </c>
    </row>
    <row r="45" spans="1:5" x14ac:dyDescent="0.25">
      <c r="A45" t="s">
        <v>120</v>
      </c>
      <c r="B45">
        <v>66</v>
      </c>
      <c r="C45">
        <v>68</v>
      </c>
      <c r="E45">
        <f t="shared" si="0"/>
        <v>2</v>
      </c>
    </row>
    <row r="46" spans="1:5" x14ac:dyDescent="0.25">
      <c r="A46" t="s">
        <v>125</v>
      </c>
      <c r="B46">
        <v>78</v>
      </c>
      <c r="C46">
        <v>76</v>
      </c>
      <c r="E46">
        <f t="shared" si="0"/>
        <v>-2</v>
      </c>
    </row>
    <row r="47" spans="1:5" x14ac:dyDescent="0.25">
      <c r="A47" t="s">
        <v>130</v>
      </c>
      <c r="B47">
        <v>77</v>
      </c>
      <c r="C47">
        <v>79</v>
      </c>
      <c r="E47">
        <f t="shared" si="0"/>
        <v>2</v>
      </c>
    </row>
    <row r="48" spans="1:5" x14ac:dyDescent="0.25">
      <c r="A48" t="s">
        <v>145</v>
      </c>
      <c r="B48">
        <v>86</v>
      </c>
      <c r="C48">
        <v>98</v>
      </c>
      <c r="E48">
        <f t="shared" si="0"/>
        <v>12</v>
      </c>
    </row>
    <row r="49" spans="1:5" x14ac:dyDescent="0.25">
      <c r="A49" t="s">
        <v>144</v>
      </c>
      <c r="B49">
        <v>64</v>
      </c>
      <c r="C49">
        <v>67</v>
      </c>
      <c r="E49">
        <f t="shared" si="0"/>
        <v>3</v>
      </c>
    </row>
    <row r="50" spans="1:5" x14ac:dyDescent="0.25">
      <c r="A50" t="s">
        <v>132</v>
      </c>
      <c r="B50">
        <v>71</v>
      </c>
      <c r="C50">
        <v>79</v>
      </c>
      <c r="E50">
        <f t="shared" si="0"/>
        <v>8</v>
      </c>
    </row>
    <row r="51" spans="1:5" x14ac:dyDescent="0.25">
      <c r="A51" t="s">
        <v>146</v>
      </c>
      <c r="B51">
        <v>65</v>
      </c>
      <c r="C51">
        <v>76</v>
      </c>
      <c r="E51">
        <f t="shared" si="0"/>
        <v>11</v>
      </c>
    </row>
    <row r="52" spans="1:5" x14ac:dyDescent="0.25">
      <c r="A52" t="s">
        <v>147</v>
      </c>
      <c r="B52">
        <v>73</v>
      </c>
      <c r="C52">
        <v>70</v>
      </c>
      <c r="E52">
        <f t="shared" si="0"/>
        <v>-3</v>
      </c>
    </row>
    <row r="53" spans="1:5" x14ac:dyDescent="0.25">
      <c r="A53" t="s">
        <v>155</v>
      </c>
      <c r="B53">
        <v>73</v>
      </c>
      <c r="C53">
        <v>64</v>
      </c>
      <c r="E53">
        <f t="shared" si="0"/>
        <v>-9</v>
      </c>
    </row>
    <row r="54" spans="1:5" x14ac:dyDescent="0.25">
      <c r="A54" t="s">
        <v>158</v>
      </c>
      <c r="B54">
        <v>75</v>
      </c>
      <c r="C54">
        <v>75</v>
      </c>
      <c r="E54">
        <f t="shared" si="0"/>
        <v>0</v>
      </c>
    </row>
    <row r="55" spans="1:5" x14ac:dyDescent="0.25">
      <c r="A55" t="s">
        <v>162</v>
      </c>
      <c r="B55">
        <v>77</v>
      </c>
      <c r="C55">
        <v>74</v>
      </c>
      <c r="E55">
        <f t="shared" si="0"/>
        <v>-3</v>
      </c>
    </row>
    <row r="56" spans="1:5" x14ac:dyDescent="0.25">
      <c r="A56" t="s">
        <v>160</v>
      </c>
      <c r="B56">
        <v>85</v>
      </c>
      <c r="C56">
        <v>87</v>
      </c>
      <c r="E56">
        <f t="shared" si="0"/>
        <v>2</v>
      </c>
    </row>
    <row r="57" spans="1:5" x14ac:dyDescent="0.25">
      <c r="A57" t="s">
        <v>173</v>
      </c>
      <c r="B57">
        <v>79</v>
      </c>
      <c r="C57">
        <v>84</v>
      </c>
      <c r="E57">
        <f t="shared" si="0"/>
        <v>5</v>
      </c>
    </row>
    <row r="58" spans="1:5" x14ac:dyDescent="0.25">
      <c r="A58" t="s">
        <v>174</v>
      </c>
      <c r="B58">
        <v>82</v>
      </c>
      <c r="C58">
        <v>81</v>
      </c>
      <c r="E58">
        <f t="shared" si="0"/>
        <v>-1</v>
      </c>
    </row>
    <row r="59" spans="1:5" x14ac:dyDescent="0.25">
      <c r="A59" t="s">
        <v>175</v>
      </c>
      <c r="B59">
        <v>78</v>
      </c>
      <c r="C59">
        <v>82</v>
      </c>
      <c r="E59">
        <f t="shared" si="0"/>
        <v>4</v>
      </c>
    </row>
    <row r="60" spans="1:5" x14ac:dyDescent="0.25">
      <c r="A60" t="s">
        <v>187</v>
      </c>
      <c r="B60">
        <v>86</v>
      </c>
      <c r="C60">
        <v>79</v>
      </c>
      <c r="E60">
        <f t="shared" si="0"/>
        <v>-7</v>
      </c>
    </row>
    <row r="61" spans="1:5" x14ac:dyDescent="0.25">
      <c r="A61" t="s">
        <v>186</v>
      </c>
      <c r="B61">
        <v>83</v>
      </c>
      <c r="C61">
        <v>83</v>
      </c>
      <c r="E61">
        <f t="shared" si="0"/>
        <v>0</v>
      </c>
    </row>
    <row r="62" spans="1:5" x14ac:dyDescent="0.25">
      <c r="B62" s="12"/>
      <c r="C62" s="12"/>
      <c r="D62" s="12"/>
      <c r="E62" s="12"/>
    </row>
    <row r="63" spans="1:5" x14ac:dyDescent="0.25">
      <c r="B63" s="12"/>
      <c r="C63" s="12"/>
      <c r="D63" s="12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6"/>
  <sheetViews>
    <sheetView zoomScale="55" zoomScaleNormal="55" workbookViewId="0">
      <selection activeCell="K39" sqref="K39"/>
    </sheetView>
  </sheetViews>
  <sheetFormatPr defaultRowHeight="15" x14ac:dyDescent="0.25"/>
  <cols>
    <col min="5" max="5" width="10.85546875" bestFit="1" customWidth="1"/>
  </cols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1.0049999999999999</v>
      </c>
      <c r="C2">
        <v>1.006</v>
      </c>
      <c r="E2">
        <f>C2-B2</f>
        <v>1.0000000000001119E-3</v>
      </c>
    </row>
    <row r="3" spans="1:5" x14ac:dyDescent="0.25">
      <c r="A3" t="s">
        <v>13</v>
      </c>
      <c r="B3">
        <v>1.0049999999999999</v>
      </c>
      <c r="C3">
        <v>1.0049999999999999</v>
      </c>
      <c r="E3">
        <f t="shared" ref="E3:E61" si="0">C3-B3</f>
        <v>0</v>
      </c>
    </row>
    <row r="4" spans="1:5" x14ac:dyDescent="0.25">
      <c r="A4" t="s">
        <v>68</v>
      </c>
      <c r="B4">
        <v>1.024</v>
      </c>
      <c r="C4">
        <v>1.014</v>
      </c>
      <c r="E4">
        <f t="shared" si="0"/>
        <v>-1.0000000000000009E-2</v>
      </c>
    </row>
    <row r="5" spans="1:5" x14ac:dyDescent="0.25">
      <c r="A5" t="s">
        <v>69</v>
      </c>
      <c r="B5">
        <v>1.024</v>
      </c>
      <c r="C5">
        <v>1.0049999999999999</v>
      </c>
      <c r="E5">
        <f t="shared" si="0"/>
        <v>-1.9000000000000128E-2</v>
      </c>
    </row>
    <row r="6" spans="1:5" x14ac:dyDescent="0.25">
      <c r="A6" t="s">
        <v>70</v>
      </c>
      <c r="B6">
        <v>1.0129999999999999</v>
      </c>
      <c r="C6">
        <v>1.0089999999999999</v>
      </c>
      <c r="E6">
        <f t="shared" si="0"/>
        <v>-4.0000000000000036E-3</v>
      </c>
    </row>
    <row r="7" spans="1:5" x14ac:dyDescent="0.25">
      <c r="A7" t="s">
        <v>74</v>
      </c>
      <c r="B7">
        <v>1.0169999999999999</v>
      </c>
      <c r="C7">
        <v>1.0209999999999999</v>
      </c>
      <c r="E7">
        <f t="shared" si="0"/>
        <v>4.0000000000000036E-3</v>
      </c>
    </row>
    <row r="8" spans="1:5" x14ac:dyDescent="0.25">
      <c r="A8" t="s">
        <v>79</v>
      </c>
      <c r="B8">
        <v>1.0269999999999999</v>
      </c>
      <c r="C8">
        <v>1.022</v>
      </c>
      <c r="E8">
        <f t="shared" si="0"/>
        <v>-4.9999999999998934E-3</v>
      </c>
    </row>
    <row r="9" spans="1:5" x14ac:dyDescent="0.25">
      <c r="A9" t="s">
        <v>80</v>
      </c>
      <c r="B9">
        <v>1.008</v>
      </c>
      <c r="C9">
        <v>1.0029999999999999</v>
      </c>
      <c r="E9">
        <f t="shared" si="0"/>
        <v>-5.0000000000001155E-3</v>
      </c>
    </row>
    <row r="10" spans="1:5" x14ac:dyDescent="0.25">
      <c r="A10" t="s">
        <v>86</v>
      </c>
      <c r="B10">
        <v>1.002</v>
      </c>
      <c r="C10">
        <v>1.008</v>
      </c>
      <c r="E10">
        <f t="shared" si="0"/>
        <v>6.0000000000000053E-3</v>
      </c>
    </row>
    <row r="11" spans="1:5" x14ac:dyDescent="0.25">
      <c r="A11" t="s">
        <v>92</v>
      </c>
      <c r="B11">
        <v>1.024</v>
      </c>
      <c r="C11">
        <v>1.032</v>
      </c>
      <c r="E11">
        <f t="shared" si="0"/>
        <v>8.0000000000000071E-3</v>
      </c>
    </row>
    <row r="12" spans="1:5" x14ac:dyDescent="0.25">
      <c r="A12" t="s">
        <v>93</v>
      </c>
      <c r="B12">
        <v>1.006</v>
      </c>
      <c r="C12">
        <v>1.0049999999999999</v>
      </c>
      <c r="E12">
        <f t="shared" si="0"/>
        <v>-1.0000000000001119E-3</v>
      </c>
    </row>
    <row r="13" spans="1:5" x14ac:dyDescent="0.25">
      <c r="A13" t="s">
        <v>110</v>
      </c>
      <c r="B13">
        <v>1.024</v>
      </c>
      <c r="C13">
        <v>1.026</v>
      </c>
      <c r="E13">
        <f t="shared" si="0"/>
        <v>2.0000000000000018E-3</v>
      </c>
    </row>
    <row r="14" spans="1:5" x14ac:dyDescent="0.25">
      <c r="A14" t="s">
        <v>120</v>
      </c>
      <c r="B14">
        <v>1.0049999999999999</v>
      </c>
      <c r="C14">
        <v>1.0109999999999999</v>
      </c>
      <c r="E14">
        <f t="shared" si="0"/>
        <v>6.0000000000000053E-3</v>
      </c>
    </row>
    <row r="15" spans="1:5" x14ac:dyDescent="0.25">
      <c r="A15" t="s">
        <v>125</v>
      </c>
      <c r="B15">
        <v>1.0249999999999999</v>
      </c>
      <c r="C15">
        <v>1.0269999999999999</v>
      </c>
      <c r="E15">
        <f t="shared" si="0"/>
        <v>2.0000000000000018E-3</v>
      </c>
    </row>
    <row r="16" spans="1:5" x14ac:dyDescent="0.25">
      <c r="A16" t="s">
        <v>130</v>
      </c>
      <c r="B16">
        <v>1.0049999999999999</v>
      </c>
      <c r="C16">
        <v>1.016</v>
      </c>
      <c r="E16">
        <f t="shared" si="0"/>
        <v>1.1000000000000121E-2</v>
      </c>
    </row>
    <row r="17" spans="1:5" x14ac:dyDescent="0.25">
      <c r="A17" t="s">
        <v>145</v>
      </c>
      <c r="B17" s="6">
        <v>1.01</v>
      </c>
      <c r="C17">
        <v>1.008</v>
      </c>
      <c r="E17">
        <f t="shared" si="0"/>
        <v>-2.0000000000000018E-3</v>
      </c>
    </row>
    <row r="18" spans="1:5" x14ac:dyDescent="0.25">
      <c r="A18" t="s">
        <v>144</v>
      </c>
      <c r="B18">
        <v>1.0069999999999999</v>
      </c>
      <c r="C18">
        <v>1.0089999999999999</v>
      </c>
      <c r="E18">
        <f t="shared" si="0"/>
        <v>2.0000000000000018E-3</v>
      </c>
    </row>
    <row r="19" spans="1:5" x14ac:dyDescent="0.25">
      <c r="A19" t="s">
        <v>132</v>
      </c>
      <c r="B19">
        <v>1.0169999999999999</v>
      </c>
      <c r="C19">
        <v>1.0049999999999999</v>
      </c>
      <c r="E19">
        <f t="shared" si="0"/>
        <v>-1.2000000000000011E-2</v>
      </c>
    </row>
    <row r="20" spans="1:5" x14ac:dyDescent="0.25">
      <c r="A20" t="s">
        <v>146</v>
      </c>
      <c r="B20">
        <v>1.0129999999999999</v>
      </c>
      <c r="C20" s="6">
        <v>1.02</v>
      </c>
      <c r="E20">
        <f t="shared" si="0"/>
        <v>7.0000000000001172E-3</v>
      </c>
    </row>
    <row r="21" spans="1:5" x14ac:dyDescent="0.25">
      <c r="A21" t="s">
        <v>147</v>
      </c>
      <c r="B21">
        <v>1.0189999999999999</v>
      </c>
      <c r="C21">
        <v>1.02</v>
      </c>
      <c r="E21">
        <f t="shared" si="0"/>
        <v>1.0000000000001119E-3</v>
      </c>
    </row>
    <row r="22" spans="1:5" x14ac:dyDescent="0.25">
      <c r="A22" t="s">
        <v>155</v>
      </c>
      <c r="B22">
        <v>1.022</v>
      </c>
      <c r="C22">
        <v>1.0209999999999999</v>
      </c>
      <c r="E22">
        <f t="shared" si="0"/>
        <v>-1.0000000000001119E-3</v>
      </c>
    </row>
    <row r="23" spans="1:5" x14ac:dyDescent="0.25">
      <c r="A23" t="s">
        <v>158</v>
      </c>
      <c r="B23">
        <v>1.004</v>
      </c>
      <c r="C23">
        <v>1.0109999999999999</v>
      </c>
      <c r="E23">
        <f t="shared" si="0"/>
        <v>6.9999999999998952E-3</v>
      </c>
    </row>
    <row r="24" spans="1:5" x14ac:dyDescent="0.25">
      <c r="A24" t="s">
        <v>162</v>
      </c>
      <c r="B24">
        <v>1.0149999999999999</v>
      </c>
      <c r="C24">
        <v>1.0169999999999999</v>
      </c>
      <c r="E24">
        <f t="shared" si="0"/>
        <v>2.0000000000000018E-3</v>
      </c>
    </row>
    <row r="25" spans="1:5" x14ac:dyDescent="0.25">
      <c r="A25" t="s">
        <v>160</v>
      </c>
      <c r="B25">
        <v>1.006</v>
      </c>
      <c r="C25">
        <v>1.0149999999999999</v>
      </c>
      <c r="E25">
        <f t="shared" si="0"/>
        <v>8.999999999999897E-3</v>
      </c>
    </row>
    <row r="26" spans="1:5" x14ac:dyDescent="0.25">
      <c r="A26" t="s">
        <v>173</v>
      </c>
      <c r="B26">
        <v>1.008</v>
      </c>
      <c r="C26">
        <v>1.012</v>
      </c>
      <c r="E26">
        <f t="shared" si="0"/>
        <v>4.0000000000000036E-3</v>
      </c>
    </row>
    <row r="27" spans="1:5" x14ac:dyDescent="0.25">
      <c r="A27" t="s">
        <v>174</v>
      </c>
      <c r="B27">
        <v>1.01</v>
      </c>
      <c r="C27">
        <v>1.026</v>
      </c>
      <c r="E27">
        <f t="shared" si="0"/>
        <v>1.6000000000000014E-2</v>
      </c>
    </row>
    <row r="28" spans="1:5" x14ac:dyDescent="0.25">
      <c r="A28" t="s">
        <v>175</v>
      </c>
      <c r="B28" s="9">
        <v>1.01</v>
      </c>
      <c r="C28">
        <v>1.0049999999999999</v>
      </c>
      <c r="E28">
        <f t="shared" si="0"/>
        <v>-5.0000000000001155E-3</v>
      </c>
    </row>
    <row r="29" spans="1:5" x14ac:dyDescent="0.25">
      <c r="A29" t="s">
        <v>187</v>
      </c>
      <c r="B29">
        <v>1.0049999999999999</v>
      </c>
      <c r="C29">
        <v>1.004</v>
      </c>
      <c r="E29" s="6">
        <f t="shared" si="0"/>
        <v>-9.9999999999988987E-4</v>
      </c>
    </row>
    <row r="30" spans="1:5" x14ac:dyDescent="0.25">
      <c r="A30" t="s">
        <v>186</v>
      </c>
      <c r="B30">
        <v>1.0029999999999999</v>
      </c>
      <c r="C30" s="4">
        <v>1.0069999999999999</v>
      </c>
      <c r="E30">
        <f t="shared" si="0"/>
        <v>4.0000000000000036E-3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1.0069999999999999</v>
      </c>
      <c r="C33">
        <v>1.0089999999999999</v>
      </c>
      <c r="E33">
        <f t="shared" si="0"/>
        <v>2.0000000000000018E-3</v>
      </c>
    </row>
    <row r="34" spans="1:5" x14ac:dyDescent="0.25">
      <c r="A34" t="s">
        <v>13</v>
      </c>
      <c r="B34">
        <v>1.004</v>
      </c>
      <c r="C34">
        <v>1.0029999999999999</v>
      </c>
      <c r="E34">
        <f t="shared" si="0"/>
        <v>-1.0000000000001119E-3</v>
      </c>
    </row>
    <row r="35" spans="1:5" x14ac:dyDescent="0.25">
      <c r="A35" t="s">
        <v>68</v>
      </c>
      <c r="B35">
        <v>1.0149999999999999</v>
      </c>
      <c r="C35">
        <v>1.008</v>
      </c>
      <c r="E35">
        <f t="shared" si="0"/>
        <v>-6.9999999999998952E-3</v>
      </c>
    </row>
    <row r="36" spans="1:5" x14ac:dyDescent="0.25">
      <c r="A36" t="s">
        <v>69</v>
      </c>
      <c r="B36">
        <v>1.006</v>
      </c>
      <c r="C36">
        <v>1.0089999999999999</v>
      </c>
      <c r="E36">
        <f t="shared" si="0"/>
        <v>2.9999999999998916E-3</v>
      </c>
    </row>
    <row r="37" spans="1:5" x14ac:dyDescent="0.25">
      <c r="A37" t="s">
        <v>70</v>
      </c>
      <c r="B37">
        <v>1.0029999999999999</v>
      </c>
      <c r="C37">
        <v>1.0029999999999999</v>
      </c>
      <c r="E37">
        <f t="shared" si="0"/>
        <v>0</v>
      </c>
    </row>
    <row r="38" spans="1:5" x14ac:dyDescent="0.25">
      <c r="A38" t="s">
        <v>74</v>
      </c>
      <c r="B38">
        <v>1.0209999999999999</v>
      </c>
      <c r="C38">
        <v>1.024</v>
      </c>
      <c r="E38">
        <f t="shared" si="0"/>
        <v>3.0000000000001137E-3</v>
      </c>
    </row>
    <row r="39" spans="1:5" x14ac:dyDescent="0.25">
      <c r="A39" t="s">
        <v>79</v>
      </c>
      <c r="B39">
        <v>1.014</v>
      </c>
      <c r="C39">
        <v>1.012</v>
      </c>
      <c r="E39">
        <f t="shared" si="0"/>
        <v>-2.0000000000000018E-3</v>
      </c>
    </row>
    <row r="40" spans="1:5" x14ac:dyDescent="0.25">
      <c r="A40" t="s">
        <v>80</v>
      </c>
      <c r="B40">
        <v>1.0029999999999999</v>
      </c>
      <c r="C40">
        <v>1.002</v>
      </c>
      <c r="E40">
        <f t="shared" si="0"/>
        <v>-9.9999999999988987E-4</v>
      </c>
    </row>
    <row r="41" spans="1:5" x14ac:dyDescent="0.25">
      <c r="A41" t="s">
        <v>86</v>
      </c>
      <c r="B41">
        <v>1.012</v>
      </c>
      <c r="C41">
        <v>1.0049999999999999</v>
      </c>
      <c r="E41">
        <f t="shared" si="0"/>
        <v>-7.0000000000001172E-3</v>
      </c>
    </row>
    <row r="42" spans="1:5" x14ac:dyDescent="0.25">
      <c r="A42" t="s">
        <v>92</v>
      </c>
      <c r="B42">
        <v>1.0309999999999999</v>
      </c>
      <c r="C42">
        <v>1.034</v>
      </c>
      <c r="E42">
        <f t="shared" si="0"/>
        <v>3.0000000000001137E-3</v>
      </c>
    </row>
    <row r="43" spans="1:5" x14ac:dyDescent="0.25">
      <c r="A43" t="s">
        <v>93</v>
      </c>
      <c r="B43">
        <v>1.0189999999999999</v>
      </c>
      <c r="C43">
        <v>1.008</v>
      </c>
      <c r="E43">
        <f t="shared" si="0"/>
        <v>-1.0999999999999899E-2</v>
      </c>
    </row>
    <row r="44" spans="1:5" x14ac:dyDescent="0.25">
      <c r="A44" t="s">
        <v>110</v>
      </c>
      <c r="B44" s="6">
        <v>1.02</v>
      </c>
      <c r="C44">
        <v>1.0249999999999999</v>
      </c>
      <c r="E44">
        <f t="shared" si="0"/>
        <v>4.9999999999998934E-3</v>
      </c>
    </row>
    <row r="45" spans="1:5" x14ac:dyDescent="0.25">
      <c r="A45" t="s">
        <v>120</v>
      </c>
      <c r="B45">
        <v>1.0049999999999999</v>
      </c>
      <c r="C45">
        <v>1.0069999999999999</v>
      </c>
      <c r="E45">
        <f t="shared" si="0"/>
        <v>2.0000000000000018E-3</v>
      </c>
    </row>
    <row r="46" spans="1:5" x14ac:dyDescent="0.25">
      <c r="A46" t="s">
        <v>125</v>
      </c>
      <c r="B46">
        <v>1.024</v>
      </c>
      <c r="C46">
        <v>1.022</v>
      </c>
      <c r="E46">
        <f t="shared" si="0"/>
        <v>-2.0000000000000018E-3</v>
      </c>
    </row>
    <row r="47" spans="1:5" x14ac:dyDescent="0.25">
      <c r="A47" t="s">
        <v>130</v>
      </c>
      <c r="B47">
        <v>1.008</v>
      </c>
      <c r="C47">
        <v>1.008</v>
      </c>
      <c r="E47">
        <f t="shared" si="0"/>
        <v>0</v>
      </c>
    </row>
    <row r="48" spans="1:5" x14ac:dyDescent="0.25">
      <c r="A48" t="s">
        <v>145</v>
      </c>
      <c r="B48">
        <v>1.0149999999999999</v>
      </c>
      <c r="C48">
        <v>1.0129999999999999</v>
      </c>
      <c r="E48">
        <f t="shared" si="0"/>
        <v>-2.0000000000000018E-3</v>
      </c>
    </row>
    <row r="49" spans="1:5" x14ac:dyDescent="0.25">
      <c r="A49" t="s">
        <v>144</v>
      </c>
      <c r="B49">
        <v>1.012</v>
      </c>
      <c r="C49">
        <v>1.0109999999999999</v>
      </c>
      <c r="E49">
        <f t="shared" si="0"/>
        <v>-1.0000000000001119E-3</v>
      </c>
    </row>
    <row r="50" spans="1:5" x14ac:dyDescent="0.25">
      <c r="A50" t="s">
        <v>132</v>
      </c>
      <c r="B50">
        <v>1.024</v>
      </c>
      <c r="C50">
        <v>1.0109999999999999</v>
      </c>
      <c r="E50">
        <f t="shared" si="0"/>
        <v>-1.3000000000000123E-2</v>
      </c>
    </row>
    <row r="51" spans="1:5" x14ac:dyDescent="0.25">
      <c r="A51" t="s">
        <v>146</v>
      </c>
      <c r="B51">
        <v>1.022</v>
      </c>
      <c r="C51">
        <v>1.008</v>
      </c>
      <c r="E51">
        <f t="shared" si="0"/>
        <v>-1.4000000000000012E-2</v>
      </c>
    </row>
    <row r="52" spans="1:5" x14ac:dyDescent="0.25">
      <c r="A52" t="s">
        <v>147</v>
      </c>
      <c r="B52">
        <v>1.0209999999999999</v>
      </c>
      <c r="C52">
        <v>1.0229999999999999</v>
      </c>
      <c r="E52">
        <f t="shared" si="0"/>
        <v>2.0000000000000018E-3</v>
      </c>
    </row>
    <row r="53" spans="1:5" x14ac:dyDescent="0.25">
      <c r="A53" t="s">
        <v>155</v>
      </c>
      <c r="B53">
        <v>1.026</v>
      </c>
      <c r="C53">
        <v>1.0229999999999999</v>
      </c>
      <c r="E53">
        <f t="shared" si="0"/>
        <v>-3.0000000000001137E-3</v>
      </c>
    </row>
    <row r="54" spans="1:5" x14ac:dyDescent="0.25">
      <c r="A54" t="s">
        <v>158</v>
      </c>
      <c r="B54">
        <v>1.0069999999999999</v>
      </c>
      <c r="C54">
        <v>1.0089999999999999</v>
      </c>
      <c r="E54">
        <f t="shared" si="0"/>
        <v>2.0000000000000018E-3</v>
      </c>
    </row>
    <row r="55" spans="1:5" x14ac:dyDescent="0.25">
      <c r="A55" t="s">
        <v>162</v>
      </c>
      <c r="B55">
        <v>1.022</v>
      </c>
      <c r="C55">
        <v>1.0089999999999999</v>
      </c>
      <c r="E55">
        <f t="shared" si="0"/>
        <v>-1.3000000000000123E-2</v>
      </c>
    </row>
    <row r="56" spans="1:5" x14ac:dyDescent="0.25">
      <c r="A56" t="s">
        <v>160</v>
      </c>
      <c r="B56">
        <v>1.0049999999999999</v>
      </c>
      <c r="C56">
        <v>1.0229999999999999</v>
      </c>
      <c r="E56">
        <f t="shared" si="0"/>
        <v>1.8000000000000016E-2</v>
      </c>
    </row>
    <row r="57" spans="1:5" x14ac:dyDescent="0.25">
      <c r="A57" t="s">
        <v>173</v>
      </c>
      <c r="B57">
        <v>1.0029999999999999</v>
      </c>
      <c r="C57">
        <v>1.004</v>
      </c>
      <c r="E57">
        <f t="shared" si="0"/>
        <v>1.0000000000001119E-3</v>
      </c>
    </row>
    <row r="58" spans="1:5" x14ac:dyDescent="0.25">
      <c r="A58" t="s">
        <v>174</v>
      </c>
      <c r="B58">
        <v>1.028</v>
      </c>
      <c r="C58">
        <v>1.022</v>
      </c>
      <c r="E58">
        <f t="shared" si="0"/>
        <v>-6.0000000000000053E-3</v>
      </c>
    </row>
    <row r="59" spans="1:5" x14ac:dyDescent="0.25">
      <c r="A59" t="s">
        <v>175</v>
      </c>
      <c r="B59">
        <v>1.024</v>
      </c>
      <c r="C59">
        <v>1.01</v>
      </c>
      <c r="E59">
        <f t="shared" si="0"/>
        <v>-1.4000000000000012E-2</v>
      </c>
    </row>
    <row r="60" spans="1:5" x14ac:dyDescent="0.25">
      <c r="A60" t="s">
        <v>187</v>
      </c>
      <c r="B60">
        <v>1.0029999999999999</v>
      </c>
      <c r="C60" s="4">
        <v>1.0029999999999999</v>
      </c>
      <c r="E60">
        <f t="shared" si="0"/>
        <v>0</v>
      </c>
    </row>
    <row r="61" spans="1:5" x14ac:dyDescent="0.25">
      <c r="A61" t="s">
        <v>186</v>
      </c>
      <c r="B61">
        <v>1.006</v>
      </c>
      <c r="C61" s="4">
        <v>1.0069999999999999</v>
      </c>
      <c r="E61">
        <f t="shared" si="0"/>
        <v>9.9999999999988987E-4</v>
      </c>
    </row>
    <row r="63" spans="1:5" x14ac:dyDescent="0.25">
      <c r="D63" s="25"/>
      <c r="E63" s="37"/>
    </row>
    <row r="65" spans="4:6" x14ac:dyDescent="0.25">
      <c r="D65" s="25"/>
      <c r="E65" s="37"/>
      <c r="F65" s="37"/>
    </row>
    <row r="66" spans="4:6" x14ac:dyDescent="0.25">
      <c r="D66" s="25"/>
      <c r="E66" s="37"/>
      <c r="F66" s="37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6"/>
  <sheetViews>
    <sheetView zoomScale="55" zoomScaleNormal="55" workbookViewId="0">
      <selection activeCell="E27" sqref="E27"/>
    </sheetView>
  </sheetViews>
  <sheetFormatPr defaultRowHeight="15" x14ac:dyDescent="0.25"/>
  <sheetData>
    <row r="1" spans="1:9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9" x14ac:dyDescent="0.25">
      <c r="A2" t="s">
        <v>3</v>
      </c>
      <c r="B2" s="1">
        <f>(1877.725046+1823.868735+1882.191872+1903.192426)/4</f>
        <v>1871.7445197500001</v>
      </c>
      <c r="C2">
        <f>(1766+1822+1878)/3</f>
        <v>1822</v>
      </c>
      <c r="E2" s="1">
        <f>C2-B2</f>
        <v>-49.744519750000109</v>
      </c>
    </row>
    <row r="3" spans="1:9" x14ac:dyDescent="0.25">
      <c r="A3" t="s">
        <v>13</v>
      </c>
      <c r="B3" s="1">
        <f>(1540+1637+1608)/3</f>
        <v>1595</v>
      </c>
      <c r="C3">
        <f>(1723+1701+1666+1690)/4</f>
        <v>1695</v>
      </c>
      <c r="E3" s="1">
        <f t="shared" ref="E3:E61" si="0">C3-B3</f>
        <v>100</v>
      </c>
    </row>
    <row r="4" spans="1:9" x14ac:dyDescent="0.25">
      <c r="A4" t="s">
        <v>68</v>
      </c>
      <c r="B4" s="1">
        <f>(1437+1455+1450)/3</f>
        <v>1447.3333333333333</v>
      </c>
      <c r="C4" s="1">
        <f>(1483+1463+1418)/3</f>
        <v>1454.6666666666667</v>
      </c>
      <c r="E4" s="1">
        <f t="shared" si="0"/>
        <v>7.3333333333334849</v>
      </c>
    </row>
    <row r="5" spans="1:9" x14ac:dyDescent="0.25">
      <c r="A5" t="s">
        <v>69</v>
      </c>
      <c r="B5" s="1">
        <f>(1638+1564+1728+1558)/4</f>
        <v>1622</v>
      </c>
      <c r="C5" s="1">
        <f>(1581+1599+1564)/3</f>
        <v>1581.3333333333333</v>
      </c>
      <c r="E5" s="1">
        <f t="shared" si="0"/>
        <v>-40.666666666666742</v>
      </c>
    </row>
    <row r="6" spans="1:9" x14ac:dyDescent="0.25">
      <c r="A6" t="s">
        <v>70</v>
      </c>
      <c r="B6" s="1">
        <f>(1351+1354)/2</f>
        <v>1352.5</v>
      </c>
      <c r="C6" s="1">
        <f>(1336+1313+1316+1273)/4</f>
        <v>1309.5</v>
      </c>
      <c r="E6" s="1">
        <f t="shared" si="0"/>
        <v>-43</v>
      </c>
      <c r="I6" s="1"/>
    </row>
    <row r="7" spans="1:9" x14ac:dyDescent="0.25">
      <c r="A7" t="s">
        <v>74</v>
      </c>
      <c r="B7" s="1">
        <f>(1383+1374+1344)/3</f>
        <v>1367</v>
      </c>
      <c r="C7" s="1">
        <f>(1455+1380+1294)/3</f>
        <v>1376.3333333333333</v>
      </c>
      <c r="E7" s="1">
        <f t="shared" si="0"/>
        <v>9.3333333333332575</v>
      </c>
      <c r="I7" s="1"/>
    </row>
    <row r="8" spans="1:9" x14ac:dyDescent="0.25">
      <c r="A8" t="s">
        <v>79</v>
      </c>
      <c r="B8" s="1">
        <f>(1560+1507+1462+1514)/4</f>
        <v>1510.75</v>
      </c>
      <c r="C8">
        <f>(1303+1291+1231)/3</f>
        <v>1275</v>
      </c>
      <c r="E8" s="1">
        <f t="shared" si="0"/>
        <v>-235.75</v>
      </c>
    </row>
    <row r="9" spans="1:9" x14ac:dyDescent="0.25">
      <c r="A9" t="s">
        <v>80</v>
      </c>
      <c r="B9" s="1">
        <f>(1971+2094+2127+1942)/4</f>
        <v>2033.5</v>
      </c>
      <c r="C9" s="1">
        <f>(2045+2021+1919+1881)/4</f>
        <v>1966.5</v>
      </c>
      <c r="E9" s="1">
        <f t="shared" si="0"/>
        <v>-67</v>
      </c>
    </row>
    <row r="10" spans="1:9" x14ac:dyDescent="0.25">
      <c r="A10" t="s">
        <v>86</v>
      </c>
      <c r="B10" s="1">
        <f>(1341+1319+1339+1342)/4</f>
        <v>1335.25</v>
      </c>
      <c r="C10" s="1">
        <f>(1341+1319+1339+1342)/4</f>
        <v>1335.25</v>
      </c>
      <c r="E10" s="1">
        <f t="shared" si="0"/>
        <v>0</v>
      </c>
    </row>
    <row r="11" spans="1:9" x14ac:dyDescent="0.25">
      <c r="A11" t="s">
        <v>92</v>
      </c>
      <c r="B11" s="1">
        <f>(1250+1167+1209+1247)/4</f>
        <v>1218.25</v>
      </c>
      <c r="C11">
        <f>(1245+1145+1171)/3</f>
        <v>1187</v>
      </c>
      <c r="E11" s="1">
        <f t="shared" si="0"/>
        <v>-31.25</v>
      </c>
    </row>
    <row r="12" spans="1:9" x14ac:dyDescent="0.25">
      <c r="A12" t="s">
        <v>93</v>
      </c>
      <c r="B12" s="1">
        <f>(1649+1574)/2</f>
        <v>1611.5</v>
      </c>
      <c r="C12" s="1">
        <f>(1510+1569+1537)/3</f>
        <v>1538.6666666666667</v>
      </c>
      <c r="E12" s="1">
        <f t="shared" si="0"/>
        <v>-72.833333333333258</v>
      </c>
    </row>
    <row r="13" spans="1:9" x14ac:dyDescent="0.25">
      <c r="A13" t="s">
        <v>110</v>
      </c>
      <c r="B13" s="11">
        <f>(1805+1607+1867+1690)/4</f>
        <v>1742.25</v>
      </c>
      <c r="C13" s="11">
        <f>(1449+1967+1687+1879)/4</f>
        <v>1745.5</v>
      </c>
      <c r="E13" s="1">
        <f t="shared" si="0"/>
        <v>3.25</v>
      </c>
    </row>
    <row r="14" spans="1:9" x14ac:dyDescent="0.25">
      <c r="A14" t="s">
        <v>120</v>
      </c>
      <c r="B14" s="1">
        <f>(1323+1435+1394)/3</f>
        <v>1384</v>
      </c>
      <c r="C14" s="1">
        <f>(1159+1043+1066)/3</f>
        <v>1089.3333333333333</v>
      </c>
      <c r="E14" s="1">
        <f t="shared" si="0"/>
        <v>-294.66666666666674</v>
      </c>
    </row>
    <row r="15" spans="1:9" x14ac:dyDescent="0.25">
      <c r="A15" t="s">
        <v>125</v>
      </c>
      <c r="B15" s="1">
        <v>1285</v>
      </c>
      <c r="C15" s="1">
        <f>(1480+1407+1348)/3</f>
        <v>1411.6666666666667</v>
      </c>
      <c r="E15" s="1">
        <f t="shared" si="0"/>
        <v>126.66666666666674</v>
      </c>
    </row>
    <row r="16" spans="1:9" x14ac:dyDescent="0.25">
      <c r="A16" t="s">
        <v>130</v>
      </c>
      <c r="B16" s="1">
        <f>(1442+1334+1403+1367)/4</f>
        <v>1386.5</v>
      </c>
      <c r="C16" s="1">
        <f>(1330+1272+1254)/3</f>
        <v>1285.3333333333333</v>
      </c>
      <c r="E16" s="1">
        <f t="shared" si="0"/>
        <v>-101.16666666666674</v>
      </c>
    </row>
    <row r="17" spans="1:5" x14ac:dyDescent="0.25">
      <c r="A17" t="s">
        <v>145</v>
      </c>
      <c r="B17" s="1">
        <f>(1560+1441+1513+1552)/4</f>
        <v>1516.5</v>
      </c>
      <c r="C17" s="1">
        <f>(1706+1726+1688+1698)/4</f>
        <v>1704.5</v>
      </c>
      <c r="E17" s="1">
        <f t="shared" si="0"/>
        <v>188</v>
      </c>
    </row>
    <row r="18" spans="1:5" x14ac:dyDescent="0.25">
      <c r="A18" t="s">
        <v>144</v>
      </c>
      <c r="B18" s="1">
        <f>(1593+1639+1630)/3</f>
        <v>1620.6666666666667</v>
      </c>
      <c r="C18" s="1">
        <f>(1646+1625+1635+1643)/4</f>
        <v>1637.25</v>
      </c>
      <c r="E18" s="1">
        <f t="shared" si="0"/>
        <v>16.583333333333258</v>
      </c>
    </row>
    <row r="19" spans="1:5" x14ac:dyDescent="0.25">
      <c r="A19" t="s">
        <v>132</v>
      </c>
      <c r="B19" s="1">
        <f>(1252+1270)/2</f>
        <v>1261</v>
      </c>
      <c r="C19" s="1">
        <f>(1254+1282+1279)/3</f>
        <v>1271.6666666666667</v>
      </c>
      <c r="E19" s="1">
        <f t="shared" si="0"/>
        <v>10.666666666666742</v>
      </c>
    </row>
    <row r="20" spans="1:5" x14ac:dyDescent="0.25">
      <c r="A20" t="s">
        <v>146</v>
      </c>
      <c r="B20" s="1">
        <f>(1719+1594+1682+1613)/4</f>
        <v>1652</v>
      </c>
      <c r="C20">
        <f>(1665+1629+1618+1648)/4</f>
        <v>1640</v>
      </c>
      <c r="E20" s="1">
        <f t="shared" si="0"/>
        <v>-12</v>
      </c>
    </row>
    <row r="21" spans="1:5" x14ac:dyDescent="0.25">
      <c r="A21" t="s">
        <v>147</v>
      </c>
      <c r="B21">
        <v>1173</v>
      </c>
      <c r="C21" s="1">
        <f>(1134+1052+1100+1165)/4</f>
        <v>1112.75</v>
      </c>
      <c r="E21" s="1">
        <f t="shared" si="0"/>
        <v>-60.25</v>
      </c>
    </row>
    <row r="22" spans="1:5" x14ac:dyDescent="0.25">
      <c r="A22" t="s">
        <v>155</v>
      </c>
      <c r="B22" s="1">
        <f>(1473+1397)/2</f>
        <v>1435</v>
      </c>
      <c r="C22" s="1">
        <f>(1679+1678+1634+1651)/4</f>
        <v>1660.5</v>
      </c>
      <c r="E22" s="1">
        <f t="shared" si="0"/>
        <v>225.5</v>
      </c>
    </row>
    <row r="23" spans="1:5" x14ac:dyDescent="0.25">
      <c r="A23" t="s">
        <v>158</v>
      </c>
      <c r="B23" s="11">
        <f>(1214+1205)/2</f>
        <v>1209.5</v>
      </c>
      <c r="C23">
        <f>(1350+1412)/2</f>
        <v>1381</v>
      </c>
      <c r="E23" s="1">
        <f t="shared" si="0"/>
        <v>171.5</v>
      </c>
    </row>
    <row r="24" spans="1:5" x14ac:dyDescent="0.25">
      <c r="A24" t="s">
        <v>162</v>
      </c>
      <c r="B24" s="1">
        <f>(1471+1469+1575)/3</f>
        <v>1505</v>
      </c>
      <c r="C24" s="1">
        <f>(1581+1586)/2</f>
        <v>1583.5</v>
      </c>
      <c r="E24" s="1">
        <f t="shared" si="0"/>
        <v>78.5</v>
      </c>
    </row>
    <row r="25" spans="1:5" x14ac:dyDescent="0.25">
      <c r="A25" t="s">
        <v>160</v>
      </c>
      <c r="B25" s="1">
        <v>2171</v>
      </c>
      <c r="C25" s="1">
        <f>(2301+2314+2236)/3</f>
        <v>2283.6666666666665</v>
      </c>
      <c r="E25" s="1">
        <f t="shared" si="0"/>
        <v>112.66666666666652</v>
      </c>
    </row>
    <row r="26" spans="1:5" x14ac:dyDescent="0.25">
      <c r="A26" t="s">
        <v>173</v>
      </c>
      <c r="B26">
        <f>(1317+1266+1227)/3</f>
        <v>1270</v>
      </c>
      <c r="C26" s="7"/>
      <c r="E26" s="1"/>
    </row>
    <row r="27" spans="1:5" x14ac:dyDescent="0.25">
      <c r="A27" t="s">
        <v>174</v>
      </c>
      <c r="B27" s="1">
        <f>(1547+1669+1654+1541)/4</f>
        <v>1602.75</v>
      </c>
      <c r="C27" s="7">
        <f>(1322+1392)/2</f>
        <v>1357</v>
      </c>
      <c r="E27" s="1" t="s">
        <v>277</v>
      </c>
    </row>
    <row r="28" spans="1:5" x14ac:dyDescent="0.25">
      <c r="A28" t="s">
        <v>175</v>
      </c>
      <c r="B28" s="1">
        <f>(1721+1673+1698)/3</f>
        <v>1697.3333333333333</v>
      </c>
      <c r="C28" s="1">
        <f>(1483+1428)/2</f>
        <v>1455.5</v>
      </c>
      <c r="E28" s="1">
        <f t="shared" si="0"/>
        <v>-241.83333333333326</v>
      </c>
    </row>
    <row r="29" spans="1:5" x14ac:dyDescent="0.25">
      <c r="A29" t="s">
        <v>187</v>
      </c>
      <c r="B29" s="1">
        <f>(1268+1181+1217+1205)/4</f>
        <v>1217.75</v>
      </c>
      <c r="C29" s="1">
        <f>(1199+1250+1236+1257)/4</f>
        <v>1235.5</v>
      </c>
      <c r="E29" s="1">
        <f t="shared" si="0"/>
        <v>17.75</v>
      </c>
    </row>
    <row r="30" spans="1:5" x14ac:dyDescent="0.25">
      <c r="A30" t="s">
        <v>186</v>
      </c>
      <c r="B30">
        <v>1632</v>
      </c>
      <c r="C30">
        <f>(1512+1443+1514+1535)/4</f>
        <v>1501</v>
      </c>
      <c r="E30" s="1">
        <f t="shared" si="0"/>
        <v>-131</v>
      </c>
    </row>
    <row r="31" spans="1:5" x14ac:dyDescent="0.25">
      <c r="B31" s="1"/>
      <c r="E31" s="1"/>
    </row>
    <row r="32" spans="1:5" s="25" customFormat="1" x14ac:dyDescent="0.25">
      <c r="A32" s="25" t="s">
        <v>1</v>
      </c>
      <c r="B32" s="12"/>
      <c r="E32" s="1"/>
    </row>
    <row r="33" spans="1:5" x14ac:dyDescent="0.25">
      <c r="A33" t="s">
        <v>3</v>
      </c>
      <c r="B33" s="1">
        <f>(2016+2020+2062)/3</f>
        <v>2032.6666666666667</v>
      </c>
      <c r="C33">
        <f>(1862+1892)/2</f>
        <v>1877</v>
      </c>
      <c r="E33" s="1">
        <f t="shared" si="0"/>
        <v>-155.66666666666674</v>
      </c>
    </row>
    <row r="34" spans="1:5" x14ac:dyDescent="0.25">
      <c r="A34" t="s">
        <v>13</v>
      </c>
      <c r="B34" s="1">
        <f>(1740+1562+1781+1760)/4</f>
        <v>1710.75</v>
      </c>
      <c r="C34" s="1">
        <f>(1562+1590+1559)/3</f>
        <v>1570.3333333333333</v>
      </c>
      <c r="E34" s="1">
        <f t="shared" si="0"/>
        <v>-140.41666666666674</v>
      </c>
    </row>
    <row r="35" spans="1:5" x14ac:dyDescent="0.25">
      <c r="A35" t="s">
        <v>68</v>
      </c>
      <c r="B35" s="1">
        <f>(1492+1488+1523)/3</f>
        <v>1501</v>
      </c>
      <c r="C35" s="1">
        <f>(1551+1536+1506+1498)/4</f>
        <v>1522.75</v>
      </c>
      <c r="E35" s="1">
        <f t="shared" si="0"/>
        <v>21.75</v>
      </c>
    </row>
    <row r="36" spans="1:5" x14ac:dyDescent="0.25">
      <c r="A36" t="s">
        <v>69</v>
      </c>
      <c r="B36" s="1">
        <f>(1677+1676+1591)/3</f>
        <v>1648</v>
      </c>
      <c r="C36">
        <f>(1772+1709+1781)/3</f>
        <v>1754</v>
      </c>
      <c r="E36" s="1">
        <f t="shared" si="0"/>
        <v>106</v>
      </c>
    </row>
    <row r="37" spans="1:5" x14ac:dyDescent="0.25">
      <c r="A37" t="s">
        <v>70</v>
      </c>
      <c r="B37" s="1">
        <f>(1295+1284+1238+1207)/4</f>
        <v>1256</v>
      </c>
      <c r="C37" s="1">
        <f>(1165+1224)/2</f>
        <v>1194.5</v>
      </c>
      <c r="E37" s="1">
        <f t="shared" si="0"/>
        <v>-61.5</v>
      </c>
    </row>
    <row r="38" spans="1:5" x14ac:dyDescent="0.25">
      <c r="A38" t="s">
        <v>74</v>
      </c>
      <c r="B38" s="1">
        <f>(1269+1260+1291)/3</f>
        <v>1273.3333333333333</v>
      </c>
      <c r="C38" s="1">
        <f>(1358+1392+1425+1383)/4</f>
        <v>1389.5</v>
      </c>
      <c r="E38" s="1">
        <f t="shared" si="0"/>
        <v>116.16666666666674</v>
      </c>
    </row>
    <row r="39" spans="1:5" x14ac:dyDescent="0.25">
      <c r="A39" t="s">
        <v>79</v>
      </c>
      <c r="B39">
        <f>(1203+1211+1261)/3</f>
        <v>1225</v>
      </c>
      <c r="C39" s="1">
        <f>(1122+1295)/2</f>
        <v>1208.5</v>
      </c>
      <c r="E39" s="1">
        <f t="shared" si="0"/>
        <v>-16.5</v>
      </c>
    </row>
    <row r="40" spans="1:5" x14ac:dyDescent="0.25">
      <c r="A40" t="s">
        <v>80</v>
      </c>
      <c r="B40" s="1">
        <f>(1823+1787+1899)/3</f>
        <v>1836.3333333333333</v>
      </c>
      <c r="C40" s="1">
        <f>(2035+2123+2036)/3</f>
        <v>2064.6666666666665</v>
      </c>
      <c r="E40" s="1">
        <f t="shared" si="0"/>
        <v>228.33333333333326</v>
      </c>
    </row>
    <row r="41" spans="1:5" x14ac:dyDescent="0.25">
      <c r="A41" t="s">
        <v>86</v>
      </c>
      <c r="B41">
        <f>(1391+1413+1393)/3</f>
        <v>1399</v>
      </c>
      <c r="C41" s="1">
        <f>(1227+1198+1260)/3</f>
        <v>1228.3333333333333</v>
      </c>
      <c r="E41" s="1">
        <f t="shared" si="0"/>
        <v>-170.66666666666674</v>
      </c>
    </row>
    <row r="42" spans="1:5" x14ac:dyDescent="0.25">
      <c r="A42" t="s">
        <v>92</v>
      </c>
      <c r="B42" s="1">
        <f>(1246+1163+1163)/3</f>
        <v>1190.6666666666667</v>
      </c>
      <c r="C42" s="1">
        <f>(1212+1130+1137)/3</f>
        <v>1159.6666666666667</v>
      </c>
      <c r="E42" s="1">
        <f t="shared" si="0"/>
        <v>-31</v>
      </c>
    </row>
    <row r="43" spans="1:5" x14ac:dyDescent="0.25">
      <c r="A43" t="s">
        <v>93</v>
      </c>
      <c r="B43" s="1">
        <f>(1606+1574+1493)/3</f>
        <v>1557.6666666666667</v>
      </c>
      <c r="C43">
        <f>(1828+1840+1867)/3</f>
        <v>1845</v>
      </c>
      <c r="E43" s="1">
        <f t="shared" si="0"/>
        <v>287.33333333333326</v>
      </c>
    </row>
    <row r="44" spans="1:5" x14ac:dyDescent="0.25">
      <c r="A44" t="s">
        <v>110</v>
      </c>
      <c r="B44" s="11">
        <f>(1620+1513+1438+1412)/4</f>
        <v>1495.75</v>
      </c>
      <c r="C44" s="11">
        <f>(1351+1378+1465+1547)/4</f>
        <v>1435.25</v>
      </c>
      <c r="E44" s="1">
        <f t="shared" si="0"/>
        <v>-60.5</v>
      </c>
    </row>
    <row r="45" spans="1:5" x14ac:dyDescent="0.25">
      <c r="A45" t="s">
        <v>120</v>
      </c>
      <c r="B45" s="1">
        <f>(1457+1564+1491+1527)/4</f>
        <v>1509.75</v>
      </c>
      <c r="C45">
        <f>(1506+1564+1545+1569)/4</f>
        <v>1546</v>
      </c>
      <c r="E45" s="1">
        <f t="shared" si="0"/>
        <v>36.25</v>
      </c>
    </row>
    <row r="46" spans="1:5" x14ac:dyDescent="0.25">
      <c r="A46" t="s">
        <v>125</v>
      </c>
      <c r="B46" s="1">
        <f>(1313+1289+1318+1311)/4</f>
        <v>1307.75</v>
      </c>
      <c r="C46" s="1">
        <f>(1443+1378+1367+1414)/4</f>
        <v>1400.5</v>
      </c>
      <c r="E46" s="1">
        <f t="shared" si="0"/>
        <v>92.75</v>
      </c>
    </row>
    <row r="47" spans="1:5" x14ac:dyDescent="0.25">
      <c r="A47" t="s">
        <v>130</v>
      </c>
      <c r="B47" s="1">
        <f>(1301+1216+1316+1278)/4</f>
        <v>1277.75</v>
      </c>
      <c r="C47" s="1">
        <f>(1400+1432+1429)/3</f>
        <v>1420.3333333333333</v>
      </c>
      <c r="E47" s="1">
        <f t="shared" si="0"/>
        <v>142.58333333333326</v>
      </c>
    </row>
    <row r="48" spans="1:5" x14ac:dyDescent="0.25">
      <c r="A48" t="s">
        <v>145</v>
      </c>
      <c r="B48">
        <f>(1537+1589)/2</f>
        <v>1563</v>
      </c>
      <c r="C48" s="1">
        <f>(1623+1641+1606)/3</f>
        <v>1623.3333333333333</v>
      </c>
      <c r="E48" s="1">
        <f t="shared" si="0"/>
        <v>60.333333333333258</v>
      </c>
    </row>
    <row r="49" spans="1:5" x14ac:dyDescent="0.25">
      <c r="A49" t="s">
        <v>144</v>
      </c>
      <c r="B49" s="1">
        <f>(1597+1555+1579+1558)/4</f>
        <v>1572.25</v>
      </c>
      <c r="C49" s="1">
        <f>(1602+1590+1543+1616)/4</f>
        <v>1587.75</v>
      </c>
      <c r="E49" s="1">
        <f t="shared" si="0"/>
        <v>15.5</v>
      </c>
    </row>
    <row r="50" spans="1:5" x14ac:dyDescent="0.25">
      <c r="A50" t="s">
        <v>132</v>
      </c>
      <c r="B50" s="1">
        <f>(1572+1546+1533)/3</f>
        <v>1550.3333333333333</v>
      </c>
      <c r="C50" s="1">
        <f>(1472+1364+1374+1401)/4</f>
        <v>1402.75</v>
      </c>
      <c r="E50" s="1">
        <f t="shared" si="0"/>
        <v>-147.58333333333326</v>
      </c>
    </row>
    <row r="51" spans="1:5" x14ac:dyDescent="0.25">
      <c r="A51" t="s">
        <v>146</v>
      </c>
      <c r="B51" s="1">
        <f>(1468+1530+1537+1551)/4</f>
        <v>1521.5</v>
      </c>
      <c r="C51" s="1">
        <f>(1589+1903+1743+1855)/4</f>
        <v>1772.5</v>
      </c>
      <c r="E51" s="1">
        <f t="shared" si="0"/>
        <v>251</v>
      </c>
    </row>
    <row r="52" spans="1:5" x14ac:dyDescent="0.25">
      <c r="A52" t="s">
        <v>147</v>
      </c>
      <c r="B52" s="1">
        <v>1234</v>
      </c>
      <c r="C52">
        <f>(1142+1214+1251+1237)/4</f>
        <v>1211</v>
      </c>
      <c r="E52" s="1">
        <f t="shared" si="0"/>
        <v>-23</v>
      </c>
    </row>
    <row r="53" spans="1:5" x14ac:dyDescent="0.25">
      <c r="A53" t="s">
        <v>155</v>
      </c>
      <c r="B53" s="1">
        <f>(1371+1310+1337)/3</f>
        <v>1339.3333333333333</v>
      </c>
      <c r="C53" s="1">
        <f>(1434+1421+1388)/3</f>
        <v>1414.3333333333333</v>
      </c>
      <c r="E53" s="1">
        <f t="shared" si="0"/>
        <v>75</v>
      </c>
    </row>
    <row r="54" spans="1:5" x14ac:dyDescent="0.25">
      <c r="A54" t="s">
        <v>158</v>
      </c>
      <c r="B54" s="1">
        <f>(1292+1328+1339)/3</f>
        <v>1319.6666666666667</v>
      </c>
      <c r="C54" s="1">
        <f>(1353+1304)/2</f>
        <v>1328.5</v>
      </c>
      <c r="E54" s="1">
        <f t="shared" si="0"/>
        <v>8.8333333333332575</v>
      </c>
    </row>
    <row r="55" spans="1:5" x14ac:dyDescent="0.25">
      <c r="A55" t="s">
        <v>162</v>
      </c>
      <c r="B55" s="1">
        <f>(1636+1710+1633)/3</f>
        <v>1659.6666666666667</v>
      </c>
      <c r="C55" s="1">
        <f>(1712+1633+1718)/3</f>
        <v>1687.6666666666667</v>
      </c>
      <c r="E55" s="1">
        <f t="shared" si="0"/>
        <v>28</v>
      </c>
    </row>
    <row r="56" spans="1:5" x14ac:dyDescent="0.25">
      <c r="A56" t="s">
        <v>160</v>
      </c>
      <c r="B56">
        <f>(2101+2057+2254+2120)/4</f>
        <v>2133</v>
      </c>
      <c r="C56">
        <f>(2300+2275+2291+2186)/4</f>
        <v>2263</v>
      </c>
      <c r="E56" s="1">
        <f t="shared" si="0"/>
        <v>130</v>
      </c>
    </row>
    <row r="57" spans="1:5" x14ac:dyDescent="0.25">
      <c r="A57" t="s">
        <v>173</v>
      </c>
      <c r="B57">
        <v>1231</v>
      </c>
      <c r="C57" s="10">
        <f>(1381+1423+1376)/3</f>
        <v>1393.3333333333333</v>
      </c>
      <c r="E57" s="1" t="s">
        <v>277</v>
      </c>
    </row>
    <row r="58" spans="1:5" x14ac:dyDescent="0.25">
      <c r="A58" t="s">
        <v>174</v>
      </c>
      <c r="B58" s="1">
        <f>(1715+1633+1648+1655)/4</f>
        <v>1662.75</v>
      </c>
      <c r="C58" s="7">
        <f>(1280+1228)/2</f>
        <v>1254</v>
      </c>
      <c r="E58" s="1"/>
    </row>
    <row r="59" spans="1:5" x14ac:dyDescent="0.25">
      <c r="A59" t="s">
        <v>175</v>
      </c>
      <c r="B59">
        <v>1434</v>
      </c>
      <c r="C59" s="1">
        <f>(1559+1471+1537)/3</f>
        <v>1522.3333333333333</v>
      </c>
      <c r="E59" s="1">
        <f t="shared" si="0"/>
        <v>88.333333333333258</v>
      </c>
    </row>
    <row r="60" spans="1:5" x14ac:dyDescent="0.25">
      <c r="A60" t="s">
        <v>187</v>
      </c>
      <c r="B60" s="1">
        <f>(1377+1392+1354+1354)/4</f>
        <v>1369.25</v>
      </c>
      <c r="C60" s="1">
        <f>(1207+1281+1210)/3</f>
        <v>1232.6666666666667</v>
      </c>
      <c r="E60" s="1">
        <f t="shared" si="0"/>
        <v>-136.58333333333326</v>
      </c>
    </row>
    <row r="61" spans="1:5" x14ac:dyDescent="0.25">
      <c r="A61" t="s">
        <v>186</v>
      </c>
      <c r="B61" s="1">
        <f>(1496+1543+1645+1674)/4</f>
        <v>1589.5</v>
      </c>
      <c r="C61" s="1">
        <f>(1631+1637+1612)/3</f>
        <v>1626.6666666666667</v>
      </c>
      <c r="E61" s="1">
        <f t="shared" si="0"/>
        <v>37.166666666666742</v>
      </c>
    </row>
    <row r="63" spans="1:5" x14ac:dyDescent="0.25">
      <c r="B63" s="1"/>
      <c r="D63" s="25"/>
      <c r="E63" s="37"/>
    </row>
    <row r="65" spans="4:6" x14ac:dyDescent="0.25">
      <c r="D65" s="25"/>
      <c r="E65" s="12"/>
      <c r="F65" s="25"/>
    </row>
    <row r="66" spans="4:6" x14ac:dyDescent="0.25">
      <c r="D66" s="25"/>
      <c r="E66" s="12"/>
      <c r="F66" s="25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6"/>
  <sheetViews>
    <sheetView zoomScale="55" zoomScaleNormal="55" workbookViewId="0">
      <selection activeCell="N21" sqref="N21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5" x14ac:dyDescent="0.25">
      <c r="A2" t="s">
        <v>3</v>
      </c>
      <c r="B2" s="2">
        <f>(0.79+0.82+0.84+0.8)/4</f>
        <v>0.8125</v>
      </c>
      <c r="C2" s="2">
        <f>(0.89+0.89+0.93)/3</f>
        <v>0.90333333333333332</v>
      </c>
      <c r="E2" s="2">
        <f>C2-B2</f>
        <v>9.0833333333333321E-2</v>
      </c>
    </row>
    <row r="3" spans="1:5" x14ac:dyDescent="0.25">
      <c r="A3" t="s">
        <v>13</v>
      </c>
      <c r="B3" s="2">
        <f>(0.85+0.86+0.86)/3</f>
        <v>0.85666666666666658</v>
      </c>
      <c r="C3" s="2">
        <f>(0.78+0.83+0.87+0.89)/4</f>
        <v>0.84250000000000003</v>
      </c>
      <c r="E3" s="2">
        <f t="shared" ref="E3:E56" si="0">C3-B3</f>
        <v>-1.416666666666655E-2</v>
      </c>
    </row>
    <row r="4" spans="1:5" x14ac:dyDescent="0.25">
      <c r="A4" t="s">
        <v>68</v>
      </c>
      <c r="B4" s="2">
        <f>(0.85+0.81+0.84)/3</f>
        <v>0.83333333333333337</v>
      </c>
      <c r="C4" s="2">
        <f>(0.88+0.87+0.87)/3</f>
        <v>0.87333333333333341</v>
      </c>
      <c r="E4" s="2">
        <f t="shared" si="0"/>
        <v>4.0000000000000036E-2</v>
      </c>
    </row>
    <row r="5" spans="1:5" x14ac:dyDescent="0.25">
      <c r="A5" t="s">
        <v>69</v>
      </c>
      <c r="B5" s="2">
        <f>(0.84+0.91+0.87+0.95)/4</f>
        <v>0.89250000000000007</v>
      </c>
      <c r="C5">
        <f>(0.85+0.85+0.85)/3</f>
        <v>0.85</v>
      </c>
      <c r="E5" s="2">
        <f t="shared" si="0"/>
        <v>-4.2500000000000093E-2</v>
      </c>
    </row>
    <row r="6" spans="1:5" x14ac:dyDescent="0.25">
      <c r="A6" t="s">
        <v>70</v>
      </c>
      <c r="B6" s="2">
        <f>(0.83+0.77)/2</f>
        <v>0.8</v>
      </c>
      <c r="C6" s="2">
        <f>(0.75+0.83+0.81+0.79)/4</f>
        <v>0.79500000000000004</v>
      </c>
      <c r="E6" s="2">
        <f t="shared" si="0"/>
        <v>-5.0000000000000044E-3</v>
      </c>
    </row>
    <row r="7" spans="1:5" x14ac:dyDescent="0.25">
      <c r="A7" t="s">
        <v>74</v>
      </c>
      <c r="B7" s="2">
        <f>(0.88+0.79+0.81)/3</f>
        <v>0.82666666666666666</v>
      </c>
      <c r="C7" s="2">
        <f>(0.82+0.81+0.81)/3</f>
        <v>0.81333333333333335</v>
      </c>
      <c r="E7" s="2">
        <f t="shared" si="0"/>
        <v>-1.3333333333333308E-2</v>
      </c>
    </row>
    <row r="8" spans="1:5" x14ac:dyDescent="0.25">
      <c r="A8" t="s">
        <v>79</v>
      </c>
      <c r="B8" s="2">
        <f>(0.81+0.8+0.81+0.85)/4</f>
        <v>0.8175</v>
      </c>
      <c r="C8" s="2">
        <f>(0.82+0.82+0.84)/3</f>
        <v>0.82666666666666666</v>
      </c>
      <c r="E8" s="2">
        <f t="shared" si="0"/>
        <v>9.1666666666666563E-3</v>
      </c>
    </row>
    <row r="9" spans="1:5" x14ac:dyDescent="0.25">
      <c r="A9" t="s">
        <v>80</v>
      </c>
      <c r="B9" s="2">
        <f>(0.74+0.78+0.83+0.78)/4</f>
        <v>0.78249999999999997</v>
      </c>
      <c r="C9" s="2">
        <f>(0.82+0.84+0.91+0.81)/4</f>
        <v>0.84499999999999997</v>
      </c>
      <c r="E9" s="2">
        <f t="shared" si="0"/>
        <v>6.25E-2</v>
      </c>
    </row>
    <row r="10" spans="1:5" x14ac:dyDescent="0.25">
      <c r="A10" t="s">
        <v>86</v>
      </c>
      <c r="B10" s="2">
        <f>(0.83+0.81+0.84+0.88)/4</f>
        <v>0.84</v>
      </c>
      <c r="C10">
        <f>(0.83+0.81+0.84+0.88)/4</f>
        <v>0.84</v>
      </c>
      <c r="E10" s="2">
        <f t="shared" si="0"/>
        <v>0</v>
      </c>
    </row>
    <row r="11" spans="1:5" x14ac:dyDescent="0.25">
      <c r="A11" t="s">
        <v>92</v>
      </c>
      <c r="B11" s="2">
        <f>(0.79+0.91+0.92+0.77)/4</f>
        <v>0.84750000000000003</v>
      </c>
      <c r="C11" s="2">
        <f>(0.93+0.9+0.91)/3</f>
        <v>0.91333333333333344</v>
      </c>
      <c r="E11" s="2">
        <f t="shared" si="0"/>
        <v>6.583333333333341E-2</v>
      </c>
    </row>
    <row r="12" spans="1:5" x14ac:dyDescent="0.25">
      <c r="A12" t="s">
        <v>93</v>
      </c>
      <c r="B12" s="2">
        <f>(0.79+0.8)/2</f>
        <v>0.79500000000000004</v>
      </c>
      <c r="C12">
        <f>(0.87+0.83+0.85)/3</f>
        <v>0.85</v>
      </c>
      <c r="E12" s="2">
        <f t="shared" si="0"/>
        <v>5.4999999999999938E-2</v>
      </c>
    </row>
    <row r="13" spans="1:5" x14ac:dyDescent="0.25">
      <c r="A13" t="s">
        <v>110</v>
      </c>
      <c r="B13" s="38">
        <f>(0.9+0.82+0.93+0.88)/4</f>
        <v>0.88249999999999995</v>
      </c>
      <c r="C13" s="38">
        <f>(0.84+0.92+0.84+0.87)/4</f>
        <v>0.86750000000000005</v>
      </c>
      <c r="E13" s="2">
        <f t="shared" si="0"/>
        <v>-1.4999999999999902E-2</v>
      </c>
    </row>
    <row r="14" spans="1:5" x14ac:dyDescent="0.25">
      <c r="A14" t="s">
        <v>120</v>
      </c>
      <c r="B14" s="2">
        <f>(0.77+0.82+0.8)/3</f>
        <v>0.79666666666666652</v>
      </c>
      <c r="C14" s="2">
        <f>(0.83+0.81+0.78)/3</f>
        <v>0.80666666666666664</v>
      </c>
      <c r="E14" s="2">
        <f t="shared" si="0"/>
        <v>1.000000000000012E-2</v>
      </c>
    </row>
    <row r="15" spans="1:5" x14ac:dyDescent="0.25">
      <c r="A15" t="s">
        <v>125</v>
      </c>
      <c r="B15" s="2">
        <f>(0.8+0.86+0.82+0.82)/4</f>
        <v>0.82499999999999996</v>
      </c>
      <c r="C15" s="2">
        <f>(0.81+0.87+0.83)/3</f>
        <v>0.83666666666666678</v>
      </c>
      <c r="E15" s="2">
        <f t="shared" si="0"/>
        <v>1.1666666666666825E-2</v>
      </c>
    </row>
    <row r="16" spans="1:5" x14ac:dyDescent="0.25">
      <c r="A16" t="s">
        <v>130</v>
      </c>
      <c r="B16" s="2">
        <f>(0.79+0.81+0.81+0.8)/4</f>
        <v>0.80249999999999999</v>
      </c>
      <c r="C16">
        <f>(0.81+0.84+0.84)/3</f>
        <v>0.83</v>
      </c>
      <c r="E16" s="2">
        <f t="shared" si="0"/>
        <v>2.7499999999999969E-2</v>
      </c>
    </row>
    <row r="17" spans="1:5" x14ac:dyDescent="0.25">
      <c r="A17" t="s">
        <v>145</v>
      </c>
      <c r="B17" s="2">
        <f>(0.83+0.86+0.86+0.89)/4</f>
        <v>0.86</v>
      </c>
      <c r="C17">
        <f>(0.87+0.87+0.9+0.92)/4</f>
        <v>0.89</v>
      </c>
      <c r="E17" s="2">
        <f t="shared" si="0"/>
        <v>3.0000000000000027E-2</v>
      </c>
    </row>
    <row r="18" spans="1:5" x14ac:dyDescent="0.25">
      <c r="A18" t="s">
        <v>144</v>
      </c>
      <c r="B18" s="2">
        <f>(0.9+0.91+0.96)/3</f>
        <v>0.92333333333333334</v>
      </c>
      <c r="C18">
        <f>(0.81+0.78+0.82+0.79)/4</f>
        <v>0.8</v>
      </c>
      <c r="E18" s="2">
        <f t="shared" si="0"/>
        <v>-0.12333333333333329</v>
      </c>
    </row>
    <row r="19" spans="1:5" x14ac:dyDescent="0.25">
      <c r="A19" t="s">
        <v>132</v>
      </c>
      <c r="B19" s="2">
        <f>(0.74+0.8)/2</f>
        <v>0.77</v>
      </c>
      <c r="C19" s="2">
        <f>(0.8+0.7+0.73)/3</f>
        <v>0.74333333333333329</v>
      </c>
      <c r="E19" s="2">
        <f t="shared" si="0"/>
        <v>-2.6666666666666727E-2</v>
      </c>
    </row>
    <row r="20" spans="1:5" x14ac:dyDescent="0.25">
      <c r="A20" t="s">
        <v>146</v>
      </c>
      <c r="B20" s="2">
        <f>(0.8+0.78+0.79+0.8)/4</f>
        <v>0.79249999999999998</v>
      </c>
      <c r="C20" s="2">
        <f>(0.74+0.8+0.81+0.82)/4</f>
        <v>0.79249999999999998</v>
      </c>
      <c r="E20" s="2">
        <f t="shared" si="0"/>
        <v>0</v>
      </c>
    </row>
    <row r="21" spans="1:5" x14ac:dyDescent="0.25">
      <c r="A21" t="s">
        <v>147</v>
      </c>
      <c r="B21" s="2">
        <f>(0.83+0.89+0.88+0.86)/4</f>
        <v>0.86499999999999999</v>
      </c>
      <c r="C21" s="2">
        <f>(0.82+0.85+0.86+0.84)/4</f>
        <v>0.84249999999999992</v>
      </c>
      <c r="E21" s="2">
        <f t="shared" si="0"/>
        <v>-2.2500000000000075E-2</v>
      </c>
    </row>
    <row r="22" spans="1:5" x14ac:dyDescent="0.25">
      <c r="A22" t="s">
        <v>155</v>
      </c>
      <c r="B22" s="2">
        <v>0.82</v>
      </c>
      <c r="C22" s="2">
        <f>(0.9+0.95+0.87+0.9)/4</f>
        <v>0.90500000000000003</v>
      </c>
      <c r="E22" s="2">
        <f t="shared" si="0"/>
        <v>8.5000000000000075E-2</v>
      </c>
    </row>
    <row r="23" spans="1:5" x14ac:dyDescent="0.25">
      <c r="A23" t="s">
        <v>158</v>
      </c>
      <c r="B23" s="38">
        <f>(0.77+0.79)/2</f>
        <v>0.78</v>
      </c>
      <c r="C23">
        <v>0.79</v>
      </c>
      <c r="E23" s="2">
        <f t="shared" si="0"/>
        <v>1.0000000000000009E-2</v>
      </c>
    </row>
    <row r="24" spans="1:5" x14ac:dyDescent="0.25">
      <c r="A24" t="s">
        <v>162</v>
      </c>
      <c r="B24" s="2">
        <v>0.82</v>
      </c>
      <c r="C24">
        <f>(0.78+0.8)/2</f>
        <v>0.79</v>
      </c>
      <c r="E24" s="2">
        <f t="shared" si="0"/>
        <v>-2.9999999999999916E-2</v>
      </c>
    </row>
    <row r="25" spans="1:5" x14ac:dyDescent="0.25">
      <c r="A25" t="s">
        <v>160</v>
      </c>
      <c r="B25" s="2">
        <v>0.92</v>
      </c>
      <c r="C25">
        <f>(0.88+0.92+0.93)/3</f>
        <v>0.91</v>
      </c>
      <c r="E25" s="2">
        <f t="shared" si="0"/>
        <v>-1.0000000000000009E-2</v>
      </c>
    </row>
    <row r="26" spans="1:5" x14ac:dyDescent="0.25">
      <c r="A26" t="s">
        <v>173</v>
      </c>
      <c r="B26" s="2">
        <f>(0.9+0.86+0.87)/3</f>
        <v>0.87666666666666659</v>
      </c>
      <c r="C26" s="8">
        <f>(0.87+0.92+0.96+0.91)/4</f>
        <v>0.91500000000000004</v>
      </c>
      <c r="E26" s="2"/>
    </row>
    <row r="27" spans="1:5" x14ac:dyDescent="0.25">
      <c r="A27" t="s">
        <v>174</v>
      </c>
      <c r="B27" s="2">
        <f>(0.87+0.94+0.87+0.86)/4</f>
        <v>0.88500000000000001</v>
      </c>
      <c r="C27" s="7">
        <v>0.86</v>
      </c>
      <c r="E27" s="1" t="s">
        <v>277</v>
      </c>
    </row>
    <row r="28" spans="1:5" x14ac:dyDescent="0.25">
      <c r="A28" t="s">
        <v>175</v>
      </c>
      <c r="B28" s="2">
        <f>(0.83+0.9+0.85)/3</f>
        <v>0.86</v>
      </c>
      <c r="C28">
        <v>0.83</v>
      </c>
      <c r="E28" s="2">
        <f t="shared" si="0"/>
        <v>-3.0000000000000027E-2</v>
      </c>
    </row>
    <row r="29" spans="1:5" x14ac:dyDescent="0.25">
      <c r="A29" t="s">
        <v>187</v>
      </c>
      <c r="B29" s="2">
        <f>(0.75+0.77+0.78+0.78)/4</f>
        <v>0.77</v>
      </c>
      <c r="C29" s="2">
        <f>(0.69+0.75+0.75+0.75)/4</f>
        <v>0.73499999999999999</v>
      </c>
      <c r="E29" s="2">
        <f t="shared" si="0"/>
        <v>-3.5000000000000031E-2</v>
      </c>
    </row>
    <row r="30" spans="1:5" x14ac:dyDescent="0.25">
      <c r="A30" t="s">
        <v>186</v>
      </c>
      <c r="B30" s="2">
        <v>0.77</v>
      </c>
      <c r="C30" s="2">
        <f>(0.74+0.77+0.78+0.78)/4</f>
        <v>0.76750000000000007</v>
      </c>
      <c r="E30" s="2">
        <f t="shared" si="0"/>
        <v>-2.4999999999999467E-3</v>
      </c>
    </row>
    <row r="31" spans="1:5" x14ac:dyDescent="0.25">
      <c r="B31" s="2"/>
      <c r="E31" s="2"/>
    </row>
    <row r="32" spans="1:5" s="25" customFormat="1" x14ac:dyDescent="0.25">
      <c r="A32" s="25" t="s">
        <v>1</v>
      </c>
      <c r="B32" s="26"/>
      <c r="E32" s="26"/>
    </row>
    <row r="33" spans="1:5" x14ac:dyDescent="0.25">
      <c r="A33" t="s">
        <v>3</v>
      </c>
      <c r="B33" s="2">
        <f>(0.89+0.82+0.88)/3</f>
        <v>0.86333333333333329</v>
      </c>
      <c r="C33" s="2">
        <f>(0.9+0.9)/2</f>
        <v>0.9</v>
      </c>
      <c r="E33" s="2">
        <f t="shared" si="0"/>
        <v>3.6666666666666736E-2</v>
      </c>
    </row>
    <row r="34" spans="1:5" x14ac:dyDescent="0.25">
      <c r="A34" t="s">
        <v>13</v>
      </c>
      <c r="B34" s="2">
        <f>(0.72+0.78+0.91+0.88)/4</f>
        <v>0.82250000000000001</v>
      </c>
      <c r="C34" s="2">
        <f>(0.81+0.84+0.88)/3</f>
        <v>0.84333333333333327</v>
      </c>
      <c r="E34" s="2">
        <f t="shared" si="0"/>
        <v>2.0833333333333259E-2</v>
      </c>
    </row>
    <row r="35" spans="1:5" x14ac:dyDescent="0.25">
      <c r="A35" t="s">
        <v>68</v>
      </c>
      <c r="B35" s="2">
        <f>(0.85+0.85+0.85)/3</f>
        <v>0.85</v>
      </c>
      <c r="C35" s="2">
        <f>(0.77+0.84+0.82+0.81)/4</f>
        <v>0.80999999999999994</v>
      </c>
      <c r="E35" s="2">
        <f t="shared" si="0"/>
        <v>-4.0000000000000036E-2</v>
      </c>
    </row>
    <row r="36" spans="1:5" x14ac:dyDescent="0.25">
      <c r="A36" t="s">
        <v>69</v>
      </c>
      <c r="B36" s="2">
        <f>(0.83+0.88+0.82)/3</f>
        <v>0.84333333333333327</v>
      </c>
      <c r="C36">
        <f>(0.91+0.89+0.93)/3</f>
        <v>0.91</v>
      </c>
      <c r="E36" s="2">
        <f t="shared" si="0"/>
        <v>6.6666666666666763E-2</v>
      </c>
    </row>
    <row r="37" spans="1:5" x14ac:dyDescent="0.25">
      <c r="A37" t="s">
        <v>70</v>
      </c>
      <c r="B37" s="2">
        <f>(0.78+0.78+0.79+0.82)/4</f>
        <v>0.79249999999999998</v>
      </c>
      <c r="C37" s="2">
        <f>(0.8+0.83)/2</f>
        <v>0.81499999999999995</v>
      </c>
      <c r="E37" s="2">
        <f t="shared" si="0"/>
        <v>2.2499999999999964E-2</v>
      </c>
    </row>
    <row r="38" spans="1:5" x14ac:dyDescent="0.25">
      <c r="A38" t="s">
        <v>74</v>
      </c>
      <c r="B38" s="2">
        <f>(0.8+0.82+0.84)/3</f>
        <v>0.82</v>
      </c>
      <c r="C38">
        <f>(0.8+0.78+0.84+0.82)/4</f>
        <v>0.80999999999999994</v>
      </c>
      <c r="E38" s="2">
        <f t="shared" si="0"/>
        <v>-1.0000000000000009E-2</v>
      </c>
    </row>
    <row r="39" spans="1:5" x14ac:dyDescent="0.25">
      <c r="A39" t="s">
        <v>79</v>
      </c>
      <c r="B39" s="2">
        <f>(0.85+0.89+0.9)/3</f>
        <v>0.88</v>
      </c>
      <c r="C39" s="2">
        <f>(0.91+0.88)/2</f>
        <v>0.89500000000000002</v>
      </c>
      <c r="E39" s="2">
        <f t="shared" si="0"/>
        <v>1.5000000000000013E-2</v>
      </c>
    </row>
    <row r="40" spans="1:5" x14ac:dyDescent="0.25">
      <c r="A40" t="s">
        <v>80</v>
      </c>
      <c r="B40" s="2">
        <f>(0.75+0.83+0.87)/3</f>
        <v>0.81666666666666676</v>
      </c>
      <c r="C40" s="2">
        <f>(0.91+0.86+0.86)/3</f>
        <v>0.87666666666666659</v>
      </c>
      <c r="E40" s="2">
        <f t="shared" si="0"/>
        <v>5.9999999999999831E-2</v>
      </c>
    </row>
    <row r="41" spans="1:5" x14ac:dyDescent="0.25">
      <c r="A41" t="s">
        <v>86</v>
      </c>
      <c r="B41" s="2">
        <f>(0.83+0.84+0.82)/3</f>
        <v>0.83</v>
      </c>
      <c r="C41" s="2">
        <f>(0.81+0.81+0.83)/3</f>
        <v>0.81666666666666676</v>
      </c>
      <c r="E41" s="2">
        <f t="shared" si="0"/>
        <v>-1.3333333333333197E-2</v>
      </c>
    </row>
    <row r="42" spans="1:5" x14ac:dyDescent="0.25">
      <c r="A42" t="s">
        <v>92</v>
      </c>
      <c r="B42" s="2">
        <f>(0.86+0.84+0.9)/3</f>
        <v>0.8666666666666667</v>
      </c>
      <c r="C42" s="2">
        <f>(0.93+0.86+0.91)/3</f>
        <v>0.9</v>
      </c>
      <c r="E42" s="2">
        <f t="shared" si="0"/>
        <v>3.3333333333333326E-2</v>
      </c>
    </row>
    <row r="43" spans="1:5" x14ac:dyDescent="0.25">
      <c r="A43" t="s">
        <v>93</v>
      </c>
      <c r="B43" s="2">
        <f>(0.81+0.84+0.8)/3</f>
        <v>0.81666666666666676</v>
      </c>
      <c r="C43" s="2">
        <f>(0.85+0.85+0.8)/3</f>
        <v>0.83333333333333337</v>
      </c>
      <c r="E43" s="2">
        <f t="shared" si="0"/>
        <v>1.6666666666666607E-2</v>
      </c>
    </row>
    <row r="44" spans="1:5" x14ac:dyDescent="0.25">
      <c r="A44" t="s">
        <v>110</v>
      </c>
      <c r="B44" s="38">
        <f>(0.94+0.9+0.81+0.86)/4</f>
        <v>0.87749999999999995</v>
      </c>
      <c r="C44" s="38">
        <f>(0.89+0.91+0.9+0.89)/4</f>
        <v>0.89750000000000008</v>
      </c>
      <c r="E44" s="2">
        <f t="shared" si="0"/>
        <v>2.0000000000000129E-2</v>
      </c>
    </row>
    <row r="45" spans="1:5" x14ac:dyDescent="0.25">
      <c r="A45" t="s">
        <v>120</v>
      </c>
      <c r="B45" s="2">
        <f>(0.78+0.8+0.78+0.78)/4</f>
        <v>0.78500000000000014</v>
      </c>
      <c r="C45" s="2">
        <f>(0.76+0.8+0.78+0.71)/4</f>
        <v>0.76249999999999996</v>
      </c>
      <c r="E45" s="2">
        <f t="shared" si="0"/>
        <v>-2.2500000000000187E-2</v>
      </c>
    </row>
    <row r="46" spans="1:5" x14ac:dyDescent="0.25">
      <c r="A46" t="s">
        <v>125</v>
      </c>
      <c r="B46" s="2">
        <f>(0.8+0.8+0.8+0.78)/4</f>
        <v>0.79500000000000015</v>
      </c>
      <c r="C46" s="2">
        <f>(0.78+0.8+0.8+0.79)/4</f>
        <v>0.79249999999999998</v>
      </c>
      <c r="E46" s="2">
        <f t="shared" si="0"/>
        <v>-2.5000000000001688E-3</v>
      </c>
    </row>
    <row r="47" spans="1:5" x14ac:dyDescent="0.25">
      <c r="A47" t="s">
        <v>130</v>
      </c>
      <c r="B47" s="2">
        <f>(0.77+0.8+0.81+0.82)/4</f>
        <v>0.79999999999999993</v>
      </c>
      <c r="C47">
        <f>(0.81+0.84+0.84)/3</f>
        <v>0.83</v>
      </c>
      <c r="E47" s="2">
        <f t="shared" si="0"/>
        <v>3.0000000000000027E-2</v>
      </c>
    </row>
    <row r="48" spans="1:5" x14ac:dyDescent="0.25">
      <c r="A48" t="s">
        <v>145</v>
      </c>
      <c r="B48" s="2">
        <f>(0.89+0.83)/2</f>
        <v>0.86</v>
      </c>
      <c r="C48" s="2">
        <f>(0.88+0.93+0.97)/3</f>
        <v>0.92666666666666675</v>
      </c>
      <c r="E48" s="2">
        <f t="shared" si="0"/>
        <v>6.6666666666666763E-2</v>
      </c>
    </row>
    <row r="49" spans="1:5" x14ac:dyDescent="0.25">
      <c r="A49" t="s">
        <v>144</v>
      </c>
      <c r="B49" s="2">
        <f>(0.75+0.78+0.78+0.79)/4</f>
        <v>0.77500000000000002</v>
      </c>
      <c r="C49" s="2">
        <f>(0.76+0.81+0.8+0.8)/4</f>
        <v>0.79249999999999998</v>
      </c>
      <c r="E49" s="2">
        <f t="shared" si="0"/>
        <v>1.749999999999996E-2</v>
      </c>
    </row>
    <row r="50" spans="1:5" x14ac:dyDescent="0.25">
      <c r="A50" t="s">
        <v>132</v>
      </c>
      <c r="B50" s="2">
        <f>(0.79+0.8+0.79)/3</f>
        <v>0.79333333333333333</v>
      </c>
      <c r="C50" s="2">
        <f>(0.76+0.76+0.79+0.78)/4</f>
        <v>0.77249999999999996</v>
      </c>
      <c r="E50" s="2">
        <f t="shared" si="0"/>
        <v>-2.083333333333337E-2</v>
      </c>
    </row>
    <row r="51" spans="1:5" x14ac:dyDescent="0.25">
      <c r="A51" t="s">
        <v>146</v>
      </c>
      <c r="B51" s="2">
        <f>(0.79+0.79+0.78+0.83)/4</f>
        <v>0.7975000000000001</v>
      </c>
      <c r="C51" s="2">
        <f>(0.82+0.91+0.89+0.85)/4</f>
        <v>0.86750000000000005</v>
      </c>
      <c r="E51" s="2">
        <f t="shared" si="0"/>
        <v>6.9999999999999951E-2</v>
      </c>
    </row>
    <row r="52" spans="1:5" x14ac:dyDescent="0.25">
      <c r="A52" t="s">
        <v>147</v>
      </c>
      <c r="B52" s="2">
        <f>(0.91+0.88+0.9+0.92)/4</f>
        <v>0.90249999999999997</v>
      </c>
      <c r="C52">
        <f>(0.87+0.93+0.9+0.94)/4</f>
        <v>0.91</v>
      </c>
      <c r="E52" s="2">
        <f t="shared" si="0"/>
        <v>7.5000000000000622E-3</v>
      </c>
    </row>
    <row r="53" spans="1:5" x14ac:dyDescent="0.25">
      <c r="A53" t="s">
        <v>155</v>
      </c>
      <c r="B53" s="2">
        <f>(0.82+0.92+0.85)/3</f>
        <v>0.86333333333333329</v>
      </c>
      <c r="C53">
        <f>(0.79+0.85+0.82)/3</f>
        <v>0.82</v>
      </c>
      <c r="E53" s="2">
        <f t="shared" si="0"/>
        <v>-4.3333333333333335E-2</v>
      </c>
    </row>
    <row r="54" spans="1:5" x14ac:dyDescent="0.25">
      <c r="A54" t="s">
        <v>158</v>
      </c>
      <c r="B54" s="2">
        <f>(0.79+0.8+0.85)/3</f>
        <v>0.81333333333333335</v>
      </c>
      <c r="C54" s="2">
        <f>(0.75+0.86)/2</f>
        <v>0.80499999999999994</v>
      </c>
      <c r="E54" s="2">
        <f t="shared" si="0"/>
        <v>-8.3333333333334147E-3</v>
      </c>
    </row>
    <row r="55" spans="1:5" x14ac:dyDescent="0.25">
      <c r="A55" t="s">
        <v>162</v>
      </c>
      <c r="B55" s="2">
        <f>(0.78+0.78+0.76)/3</f>
        <v>0.77333333333333343</v>
      </c>
      <c r="C55" s="2">
        <f>(0.78+0.76+0.76)/3</f>
        <v>0.76666666666666661</v>
      </c>
      <c r="E55" s="2">
        <f t="shared" si="0"/>
        <v>-6.6666666666668206E-3</v>
      </c>
    </row>
    <row r="56" spans="1:5" x14ac:dyDescent="0.25">
      <c r="A56" t="s">
        <v>160</v>
      </c>
      <c r="B56" s="2">
        <f>(0.86+0.87+0.87+0.9)/4</f>
        <v>0.875</v>
      </c>
      <c r="C56">
        <f>(0.83+0.87+0.88+0.9)/4</f>
        <v>0.87</v>
      </c>
      <c r="E56" s="2">
        <f t="shared" si="0"/>
        <v>-5.0000000000000044E-3</v>
      </c>
    </row>
    <row r="57" spans="1:5" x14ac:dyDescent="0.25">
      <c r="A57" t="s">
        <v>173</v>
      </c>
      <c r="B57" s="2">
        <v>0.87</v>
      </c>
      <c r="C57" s="8">
        <f>(0.89+0.89+0.85)/3</f>
        <v>0.87666666666666659</v>
      </c>
      <c r="E57" s="1" t="s">
        <v>277</v>
      </c>
    </row>
    <row r="58" spans="1:5" x14ac:dyDescent="0.25">
      <c r="A58" t="s">
        <v>174</v>
      </c>
      <c r="B58" s="2">
        <f>(0.84+0.87+0.78+0.9)/4</f>
        <v>0.84750000000000003</v>
      </c>
      <c r="C58" s="7">
        <f>(0.88+0.9)/2</f>
        <v>0.89</v>
      </c>
      <c r="E58" s="2"/>
    </row>
    <row r="59" spans="1:5" x14ac:dyDescent="0.25">
      <c r="A59" t="s">
        <v>175</v>
      </c>
      <c r="B59" s="2">
        <v>1.17</v>
      </c>
      <c r="C59">
        <f>(0.81+0.88+0.83)/3</f>
        <v>0.84</v>
      </c>
      <c r="E59" s="2">
        <f t="shared" ref="E59:E61" si="1">C59-B59</f>
        <v>-0.32999999999999996</v>
      </c>
    </row>
    <row r="60" spans="1:5" x14ac:dyDescent="0.25">
      <c r="A60" t="s">
        <v>187</v>
      </c>
      <c r="B60" s="2">
        <f>(0.76+0.75+0.81+0.8)/4</f>
        <v>0.78</v>
      </c>
      <c r="C60" s="2">
        <f>(0.79+0.77+0.8)/3</f>
        <v>0.78666666666666674</v>
      </c>
      <c r="E60" s="2">
        <f t="shared" si="1"/>
        <v>6.6666666666667096E-3</v>
      </c>
    </row>
    <row r="61" spans="1:5" x14ac:dyDescent="0.25">
      <c r="A61" t="s">
        <v>186</v>
      </c>
      <c r="B61" s="2">
        <f>(0.83+0.84+0.87+0.84)/4</f>
        <v>0.84499999999999997</v>
      </c>
      <c r="C61" s="2">
        <f>(0.85+0.92+0.89)/3</f>
        <v>0.88666666666666671</v>
      </c>
      <c r="E61" s="2">
        <f t="shared" si="1"/>
        <v>4.1666666666666741E-2</v>
      </c>
    </row>
    <row r="62" spans="1:5" x14ac:dyDescent="0.25">
      <c r="B62" s="2"/>
    </row>
    <row r="63" spans="1:5" x14ac:dyDescent="0.25">
      <c r="B63" s="2"/>
      <c r="D63" s="25"/>
      <c r="E63" s="37"/>
    </row>
    <row r="64" spans="1:5" x14ac:dyDescent="0.25">
      <c r="B64" s="2"/>
    </row>
    <row r="65" spans="4:6" x14ac:dyDescent="0.25">
      <c r="D65" s="25"/>
      <c r="E65" s="26"/>
      <c r="F65" s="26"/>
    </row>
    <row r="66" spans="4:6" x14ac:dyDescent="0.25">
      <c r="D66" s="25"/>
      <c r="E66" s="26"/>
      <c r="F66" s="26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6"/>
  <sheetViews>
    <sheetView zoomScale="55" zoomScaleNormal="55" workbookViewId="0">
      <selection activeCell="K22" sqref="K22"/>
    </sheetView>
  </sheetViews>
  <sheetFormatPr defaultRowHeight="15" x14ac:dyDescent="0.25"/>
  <cols>
    <col min="5" max="5" width="11.7109375" bestFit="1" customWidth="1"/>
  </cols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5" x14ac:dyDescent="0.25">
      <c r="A2" t="s">
        <v>3</v>
      </c>
      <c r="B2">
        <v>55</v>
      </c>
      <c r="C2">
        <v>52</v>
      </c>
      <c r="E2" s="3">
        <f>C2-B2</f>
        <v>-3</v>
      </c>
    </row>
    <row r="3" spans="1:5" x14ac:dyDescent="0.25">
      <c r="A3" t="s">
        <v>13</v>
      </c>
      <c r="B3">
        <v>2</v>
      </c>
      <c r="C3">
        <v>36</v>
      </c>
      <c r="E3" s="3">
        <f t="shared" ref="E3:E59" si="0">C3-B3</f>
        <v>34</v>
      </c>
    </row>
    <row r="4" spans="1:5" x14ac:dyDescent="0.25">
      <c r="A4" t="s">
        <v>68</v>
      </c>
      <c r="B4">
        <v>61</v>
      </c>
      <c r="C4">
        <v>77</v>
      </c>
      <c r="E4" s="3">
        <f t="shared" si="0"/>
        <v>16</v>
      </c>
    </row>
    <row r="5" spans="1:5" x14ac:dyDescent="0.25">
      <c r="A5" t="s">
        <v>69</v>
      </c>
      <c r="B5">
        <v>68</v>
      </c>
      <c r="C5">
        <v>76</v>
      </c>
      <c r="E5" s="3">
        <f t="shared" si="0"/>
        <v>8</v>
      </c>
    </row>
    <row r="6" spans="1:5" x14ac:dyDescent="0.25">
      <c r="A6" t="s">
        <v>70</v>
      </c>
      <c r="B6">
        <v>92</v>
      </c>
      <c r="C6">
        <v>92</v>
      </c>
      <c r="E6" s="3">
        <f t="shared" si="0"/>
        <v>0</v>
      </c>
    </row>
    <row r="7" spans="1:5" x14ac:dyDescent="0.25">
      <c r="A7" t="s">
        <v>74</v>
      </c>
      <c r="B7">
        <v>21</v>
      </c>
      <c r="C7">
        <v>64</v>
      </c>
      <c r="E7" s="3">
        <f t="shared" si="0"/>
        <v>43</v>
      </c>
    </row>
    <row r="8" spans="1:5" x14ac:dyDescent="0.25">
      <c r="A8" t="s">
        <v>79</v>
      </c>
      <c r="B8">
        <v>76</v>
      </c>
      <c r="C8">
        <v>99</v>
      </c>
      <c r="E8" s="3">
        <f t="shared" si="0"/>
        <v>23</v>
      </c>
    </row>
    <row r="9" spans="1:5" x14ac:dyDescent="0.25">
      <c r="A9" t="s">
        <v>80</v>
      </c>
      <c r="B9">
        <v>61</v>
      </c>
      <c r="C9">
        <v>72</v>
      </c>
      <c r="E9" s="3">
        <f t="shared" si="0"/>
        <v>11</v>
      </c>
    </row>
    <row r="10" spans="1:5" x14ac:dyDescent="0.25">
      <c r="A10" t="s">
        <v>86</v>
      </c>
      <c r="B10">
        <v>50</v>
      </c>
      <c r="C10">
        <v>71</v>
      </c>
      <c r="E10" s="3">
        <f t="shared" si="0"/>
        <v>21</v>
      </c>
    </row>
    <row r="11" spans="1:5" x14ac:dyDescent="0.25">
      <c r="A11" t="s">
        <v>92</v>
      </c>
      <c r="B11">
        <v>81</v>
      </c>
      <c r="C11">
        <v>70</v>
      </c>
      <c r="E11" s="3">
        <f t="shared" si="0"/>
        <v>-11</v>
      </c>
    </row>
    <row r="12" spans="1:5" x14ac:dyDescent="0.25">
      <c r="A12" t="s">
        <v>93</v>
      </c>
      <c r="B12">
        <v>57</v>
      </c>
      <c r="C12">
        <v>54</v>
      </c>
      <c r="E12" s="3">
        <f t="shared" si="0"/>
        <v>-3</v>
      </c>
    </row>
    <row r="13" spans="1:5" x14ac:dyDescent="0.25">
      <c r="A13" t="s">
        <v>110</v>
      </c>
      <c r="B13">
        <v>75</v>
      </c>
      <c r="C13">
        <v>81</v>
      </c>
      <c r="E13" s="3">
        <f t="shared" si="0"/>
        <v>6</v>
      </c>
    </row>
    <row r="14" spans="1:5" x14ac:dyDescent="0.25">
      <c r="A14" t="s">
        <v>120</v>
      </c>
      <c r="B14">
        <v>52</v>
      </c>
      <c r="C14">
        <v>74</v>
      </c>
      <c r="E14" s="3">
        <f t="shared" si="0"/>
        <v>22</v>
      </c>
    </row>
    <row r="15" spans="1:5" x14ac:dyDescent="0.25">
      <c r="A15" t="s">
        <v>125</v>
      </c>
      <c r="B15">
        <v>20</v>
      </c>
      <c r="C15">
        <v>9</v>
      </c>
      <c r="E15" s="3">
        <f t="shared" si="0"/>
        <v>-11</v>
      </c>
    </row>
    <row r="16" spans="1:5" x14ac:dyDescent="0.25">
      <c r="A16" t="s">
        <v>130</v>
      </c>
      <c r="B16">
        <v>41</v>
      </c>
      <c r="C16">
        <v>42</v>
      </c>
      <c r="E16" s="3">
        <f t="shared" si="0"/>
        <v>1</v>
      </c>
    </row>
    <row r="17" spans="1:5" x14ac:dyDescent="0.25">
      <c r="A17" t="s">
        <v>145</v>
      </c>
      <c r="B17">
        <v>50</v>
      </c>
      <c r="C17">
        <v>36</v>
      </c>
      <c r="E17" s="3">
        <f t="shared" si="0"/>
        <v>-14</v>
      </c>
    </row>
    <row r="18" spans="1:5" x14ac:dyDescent="0.25">
      <c r="A18" t="s">
        <v>144</v>
      </c>
      <c r="B18">
        <v>74</v>
      </c>
      <c r="C18">
        <v>61</v>
      </c>
      <c r="E18" s="3">
        <f>C18-B18</f>
        <v>-13</v>
      </c>
    </row>
    <row r="19" spans="1:5" x14ac:dyDescent="0.25">
      <c r="A19" t="s">
        <v>132</v>
      </c>
      <c r="B19">
        <v>64</v>
      </c>
      <c r="C19">
        <v>79</v>
      </c>
      <c r="E19" s="3">
        <f t="shared" si="0"/>
        <v>15</v>
      </c>
    </row>
    <row r="20" spans="1:5" x14ac:dyDescent="0.25">
      <c r="A20" t="s">
        <v>146</v>
      </c>
      <c r="B20">
        <v>7</v>
      </c>
      <c r="C20">
        <v>59</v>
      </c>
      <c r="E20" s="3">
        <f t="shared" si="0"/>
        <v>52</v>
      </c>
    </row>
    <row r="21" spans="1:5" x14ac:dyDescent="0.25">
      <c r="A21" t="s">
        <v>147</v>
      </c>
      <c r="B21">
        <v>73</v>
      </c>
      <c r="C21">
        <v>53</v>
      </c>
      <c r="E21" s="3">
        <f t="shared" si="0"/>
        <v>-20</v>
      </c>
    </row>
    <row r="22" spans="1:5" x14ac:dyDescent="0.25">
      <c r="A22" t="s">
        <v>155</v>
      </c>
      <c r="B22">
        <v>69</v>
      </c>
      <c r="C22">
        <v>17</v>
      </c>
      <c r="E22" s="3">
        <f t="shared" si="0"/>
        <v>-52</v>
      </c>
    </row>
    <row r="23" spans="1:5" x14ac:dyDescent="0.25">
      <c r="A23" t="s">
        <v>158</v>
      </c>
      <c r="B23">
        <v>61</v>
      </c>
      <c r="C23">
        <v>52</v>
      </c>
      <c r="E23" s="3">
        <f t="shared" si="0"/>
        <v>-9</v>
      </c>
    </row>
    <row r="24" spans="1:5" x14ac:dyDescent="0.25">
      <c r="A24" t="s">
        <v>162</v>
      </c>
      <c r="B24">
        <v>78</v>
      </c>
      <c r="C24">
        <v>56</v>
      </c>
      <c r="E24" s="3">
        <f t="shared" si="0"/>
        <v>-22</v>
      </c>
    </row>
    <row r="25" spans="1:5" x14ac:dyDescent="0.25">
      <c r="A25" t="s">
        <v>160</v>
      </c>
      <c r="B25">
        <v>1</v>
      </c>
      <c r="C25">
        <v>14</v>
      </c>
      <c r="E25" s="3">
        <f t="shared" si="0"/>
        <v>13</v>
      </c>
    </row>
    <row r="26" spans="1:5" x14ac:dyDescent="0.25">
      <c r="A26" t="s">
        <v>173</v>
      </c>
      <c r="B26">
        <v>60</v>
      </c>
      <c r="C26">
        <v>91</v>
      </c>
      <c r="E26" s="3">
        <f t="shared" ref="E26:E30" si="1">C26-B26</f>
        <v>31</v>
      </c>
    </row>
    <row r="27" spans="1:5" x14ac:dyDescent="0.25">
      <c r="A27" t="s">
        <v>174</v>
      </c>
      <c r="B27">
        <v>68</v>
      </c>
      <c r="C27">
        <v>72</v>
      </c>
      <c r="E27" s="3">
        <f t="shared" si="1"/>
        <v>4</v>
      </c>
    </row>
    <row r="28" spans="1:5" x14ac:dyDescent="0.25">
      <c r="A28" t="s">
        <v>175</v>
      </c>
      <c r="B28">
        <v>70</v>
      </c>
      <c r="C28">
        <v>53</v>
      </c>
      <c r="E28" s="3">
        <f t="shared" si="1"/>
        <v>-17</v>
      </c>
    </row>
    <row r="29" spans="1:5" x14ac:dyDescent="0.25">
      <c r="A29" t="s">
        <v>187</v>
      </c>
      <c r="B29">
        <v>56</v>
      </c>
      <c r="C29">
        <v>37</v>
      </c>
      <c r="E29" s="3">
        <f t="shared" si="1"/>
        <v>-19</v>
      </c>
    </row>
    <row r="30" spans="1:5" x14ac:dyDescent="0.25">
      <c r="A30" t="s">
        <v>186</v>
      </c>
      <c r="B30">
        <v>61</v>
      </c>
      <c r="C30">
        <v>34</v>
      </c>
      <c r="E30" s="3">
        <f t="shared" si="1"/>
        <v>-27</v>
      </c>
    </row>
    <row r="31" spans="1:5" x14ac:dyDescent="0.25">
      <c r="E31" s="3"/>
    </row>
    <row r="32" spans="1:5" s="25" customFormat="1" x14ac:dyDescent="0.25">
      <c r="A32" s="25" t="s">
        <v>1</v>
      </c>
      <c r="E32" s="27"/>
    </row>
    <row r="33" spans="1:5" x14ac:dyDescent="0.25">
      <c r="A33" t="s">
        <v>3</v>
      </c>
      <c r="B33">
        <v>37</v>
      </c>
      <c r="C33">
        <v>51</v>
      </c>
      <c r="E33" s="3">
        <f t="shared" si="0"/>
        <v>14</v>
      </c>
    </row>
    <row r="34" spans="1:5" x14ac:dyDescent="0.25">
      <c r="A34" t="s">
        <v>13</v>
      </c>
      <c r="B34">
        <v>14</v>
      </c>
      <c r="C34">
        <v>19</v>
      </c>
      <c r="E34" s="3">
        <f t="shared" si="0"/>
        <v>5</v>
      </c>
    </row>
    <row r="35" spans="1:5" x14ac:dyDescent="0.25">
      <c r="A35" t="s">
        <v>68</v>
      </c>
      <c r="B35">
        <v>60</v>
      </c>
      <c r="C35">
        <v>81</v>
      </c>
      <c r="E35" s="3">
        <f t="shared" si="0"/>
        <v>21</v>
      </c>
    </row>
    <row r="36" spans="1:5" x14ac:dyDescent="0.25">
      <c r="A36" t="s">
        <v>69</v>
      </c>
      <c r="B36">
        <v>73</v>
      </c>
      <c r="C36">
        <v>78</v>
      </c>
      <c r="E36" s="3">
        <f t="shared" si="0"/>
        <v>5</v>
      </c>
    </row>
    <row r="37" spans="1:5" x14ac:dyDescent="0.25">
      <c r="A37" t="s">
        <v>70</v>
      </c>
      <c r="B37">
        <v>64</v>
      </c>
      <c r="C37">
        <v>90</v>
      </c>
      <c r="E37" s="3">
        <f t="shared" si="0"/>
        <v>26</v>
      </c>
    </row>
    <row r="38" spans="1:5" x14ac:dyDescent="0.25">
      <c r="A38" t="s">
        <v>74</v>
      </c>
      <c r="B38">
        <v>73</v>
      </c>
      <c r="C38">
        <v>67</v>
      </c>
      <c r="E38" s="3">
        <f t="shared" si="0"/>
        <v>-6</v>
      </c>
    </row>
    <row r="39" spans="1:5" x14ac:dyDescent="0.25">
      <c r="A39" t="s">
        <v>79</v>
      </c>
      <c r="B39">
        <v>89</v>
      </c>
      <c r="C39">
        <v>88</v>
      </c>
      <c r="E39" s="3">
        <f t="shared" si="0"/>
        <v>-1</v>
      </c>
    </row>
    <row r="40" spans="1:5" x14ac:dyDescent="0.25">
      <c r="A40" t="s">
        <v>80</v>
      </c>
      <c r="B40">
        <v>26</v>
      </c>
      <c r="C40">
        <v>73</v>
      </c>
      <c r="E40" s="3">
        <f t="shared" si="0"/>
        <v>47</v>
      </c>
    </row>
    <row r="41" spans="1:5" x14ac:dyDescent="0.25">
      <c r="A41" t="s">
        <v>86</v>
      </c>
      <c r="B41">
        <v>58</v>
      </c>
      <c r="C41">
        <v>66</v>
      </c>
      <c r="E41" s="3">
        <f t="shared" si="0"/>
        <v>8</v>
      </c>
    </row>
    <row r="42" spans="1:5" x14ac:dyDescent="0.25">
      <c r="A42" t="s">
        <v>92</v>
      </c>
      <c r="B42">
        <v>48</v>
      </c>
      <c r="C42">
        <v>70</v>
      </c>
      <c r="E42" s="3">
        <f t="shared" si="0"/>
        <v>22</v>
      </c>
    </row>
    <row r="43" spans="1:5" x14ac:dyDescent="0.25">
      <c r="A43" t="s">
        <v>93</v>
      </c>
      <c r="B43">
        <v>71</v>
      </c>
      <c r="C43">
        <v>86</v>
      </c>
      <c r="E43" s="3">
        <f t="shared" si="0"/>
        <v>15</v>
      </c>
    </row>
    <row r="44" spans="1:5" x14ac:dyDescent="0.25">
      <c r="A44" t="s">
        <v>110</v>
      </c>
      <c r="B44">
        <v>75</v>
      </c>
      <c r="C44">
        <v>48</v>
      </c>
      <c r="E44" s="3">
        <f t="shared" si="0"/>
        <v>-27</v>
      </c>
    </row>
    <row r="45" spans="1:5" x14ac:dyDescent="0.25">
      <c r="A45" t="s">
        <v>120</v>
      </c>
      <c r="B45">
        <v>23</v>
      </c>
      <c r="C45">
        <v>39</v>
      </c>
      <c r="E45" s="3">
        <f t="shared" si="0"/>
        <v>16</v>
      </c>
    </row>
    <row r="46" spans="1:5" x14ac:dyDescent="0.25">
      <c r="A46" t="s">
        <v>125</v>
      </c>
      <c r="B46">
        <v>21</v>
      </c>
      <c r="C46">
        <v>35</v>
      </c>
      <c r="E46" s="3">
        <f t="shared" si="0"/>
        <v>14</v>
      </c>
    </row>
    <row r="47" spans="1:5" x14ac:dyDescent="0.25">
      <c r="A47" t="s">
        <v>130</v>
      </c>
      <c r="B47">
        <v>42</v>
      </c>
      <c r="C47">
        <v>58</v>
      </c>
      <c r="E47" s="3">
        <f t="shared" si="0"/>
        <v>16</v>
      </c>
    </row>
    <row r="48" spans="1:5" x14ac:dyDescent="0.25">
      <c r="A48" t="s">
        <v>145</v>
      </c>
      <c r="B48">
        <v>81</v>
      </c>
      <c r="C48">
        <v>6</v>
      </c>
      <c r="E48" s="3">
        <f t="shared" si="0"/>
        <v>-75</v>
      </c>
    </row>
    <row r="49" spans="1:5" x14ac:dyDescent="0.25">
      <c r="A49" t="s">
        <v>144</v>
      </c>
      <c r="B49">
        <v>59</v>
      </c>
      <c r="C49">
        <v>82</v>
      </c>
      <c r="E49" s="3">
        <f t="shared" si="0"/>
        <v>23</v>
      </c>
    </row>
    <row r="50" spans="1:5" x14ac:dyDescent="0.25">
      <c r="A50" t="s">
        <v>132</v>
      </c>
      <c r="B50">
        <v>18</v>
      </c>
      <c r="C50">
        <v>69</v>
      </c>
      <c r="E50" s="3">
        <f t="shared" si="0"/>
        <v>51</v>
      </c>
    </row>
    <row r="51" spans="1:5" x14ac:dyDescent="0.25">
      <c r="A51" t="s">
        <v>146</v>
      </c>
      <c r="B51">
        <v>21</v>
      </c>
      <c r="C51">
        <v>25</v>
      </c>
      <c r="E51" s="3">
        <f t="shared" si="0"/>
        <v>4</v>
      </c>
    </row>
    <row r="52" spans="1:5" x14ac:dyDescent="0.25">
      <c r="A52" t="s">
        <v>147</v>
      </c>
      <c r="B52">
        <v>19</v>
      </c>
      <c r="C52">
        <v>33</v>
      </c>
      <c r="E52" s="3">
        <f t="shared" si="0"/>
        <v>14</v>
      </c>
    </row>
    <row r="53" spans="1:5" x14ac:dyDescent="0.25">
      <c r="A53" t="s">
        <v>155</v>
      </c>
      <c r="B53">
        <v>44</v>
      </c>
      <c r="C53">
        <v>31</v>
      </c>
      <c r="E53" s="3">
        <f t="shared" si="0"/>
        <v>-13</v>
      </c>
    </row>
    <row r="54" spans="1:5" x14ac:dyDescent="0.25">
      <c r="A54" t="s">
        <v>158</v>
      </c>
      <c r="B54">
        <v>57</v>
      </c>
      <c r="C54">
        <v>56</v>
      </c>
      <c r="E54" s="3">
        <f t="shared" si="0"/>
        <v>-1</v>
      </c>
    </row>
    <row r="55" spans="1:5" x14ac:dyDescent="0.25">
      <c r="A55" t="s">
        <v>162</v>
      </c>
      <c r="B55">
        <v>27</v>
      </c>
      <c r="C55">
        <v>80</v>
      </c>
      <c r="E55" s="3">
        <f t="shared" si="0"/>
        <v>53</v>
      </c>
    </row>
    <row r="56" spans="1:5" x14ac:dyDescent="0.25">
      <c r="A56" t="s">
        <v>160</v>
      </c>
      <c r="B56">
        <v>11</v>
      </c>
      <c r="C56">
        <v>34</v>
      </c>
      <c r="E56" s="3">
        <f t="shared" si="0"/>
        <v>23</v>
      </c>
    </row>
    <row r="57" spans="1:5" x14ac:dyDescent="0.25">
      <c r="A57" t="s">
        <v>173</v>
      </c>
      <c r="B57">
        <v>89</v>
      </c>
      <c r="C57">
        <v>76</v>
      </c>
      <c r="E57" s="3">
        <f t="shared" si="0"/>
        <v>-13</v>
      </c>
    </row>
    <row r="58" spans="1:5" x14ac:dyDescent="0.25">
      <c r="A58" t="s">
        <v>174</v>
      </c>
      <c r="B58">
        <v>47</v>
      </c>
      <c r="C58">
        <v>72</v>
      </c>
      <c r="E58" s="3">
        <f t="shared" si="0"/>
        <v>25</v>
      </c>
    </row>
    <row r="59" spans="1:5" x14ac:dyDescent="0.25">
      <c r="A59" t="s">
        <v>175</v>
      </c>
      <c r="B59">
        <v>67</v>
      </c>
      <c r="C59">
        <v>62</v>
      </c>
      <c r="E59" s="3">
        <f t="shared" si="0"/>
        <v>-5</v>
      </c>
    </row>
    <row r="60" spans="1:5" x14ac:dyDescent="0.25">
      <c r="A60" t="s">
        <v>187</v>
      </c>
      <c r="B60">
        <v>46</v>
      </c>
      <c r="C60">
        <v>66</v>
      </c>
      <c r="E60" s="3">
        <f t="shared" ref="E60:E61" si="2">C60-B60</f>
        <v>20</v>
      </c>
    </row>
    <row r="61" spans="1:5" x14ac:dyDescent="0.25">
      <c r="A61" t="s">
        <v>186</v>
      </c>
      <c r="B61">
        <v>57</v>
      </c>
      <c r="C61">
        <v>82</v>
      </c>
      <c r="E61" s="3">
        <f t="shared" si="2"/>
        <v>25</v>
      </c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6"/>
  <sheetViews>
    <sheetView zoomScale="55" zoomScaleNormal="55" workbookViewId="0">
      <selection activeCell="H18" sqref="H18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5" x14ac:dyDescent="0.25">
      <c r="A2" t="s">
        <v>3</v>
      </c>
      <c r="B2">
        <v>17</v>
      </c>
      <c r="C2">
        <v>9</v>
      </c>
      <c r="E2" s="3">
        <f>C2-B2</f>
        <v>-8</v>
      </c>
    </row>
    <row r="3" spans="1:5" x14ac:dyDescent="0.25">
      <c r="A3" t="s">
        <v>13</v>
      </c>
      <c r="B3">
        <v>48</v>
      </c>
      <c r="C3">
        <v>20</v>
      </c>
      <c r="E3" s="3">
        <f t="shared" ref="E3:E59" si="0">C3-B3</f>
        <v>-28</v>
      </c>
    </row>
    <row r="4" spans="1:5" x14ac:dyDescent="0.25">
      <c r="A4" t="s">
        <v>68</v>
      </c>
      <c r="B4">
        <v>57</v>
      </c>
      <c r="C4">
        <v>18</v>
      </c>
      <c r="E4" s="3">
        <f t="shared" si="0"/>
        <v>-39</v>
      </c>
    </row>
    <row r="5" spans="1:5" x14ac:dyDescent="0.25">
      <c r="A5" t="s">
        <v>69</v>
      </c>
      <c r="B5">
        <v>19</v>
      </c>
      <c r="C5">
        <v>16</v>
      </c>
      <c r="E5" s="3">
        <f t="shared" si="0"/>
        <v>-3</v>
      </c>
    </row>
    <row r="6" spans="1:5" x14ac:dyDescent="0.25">
      <c r="A6" t="s">
        <v>70</v>
      </c>
      <c r="B6">
        <v>4</v>
      </c>
      <c r="C6">
        <v>24</v>
      </c>
      <c r="E6" s="3">
        <f t="shared" si="0"/>
        <v>20</v>
      </c>
    </row>
    <row r="7" spans="1:5" x14ac:dyDescent="0.25">
      <c r="A7" t="s">
        <v>74</v>
      </c>
      <c r="B7">
        <v>47</v>
      </c>
      <c r="C7">
        <v>25</v>
      </c>
      <c r="E7" s="3">
        <f t="shared" si="0"/>
        <v>-22</v>
      </c>
    </row>
    <row r="8" spans="1:5" x14ac:dyDescent="0.25">
      <c r="A8" t="s">
        <v>79</v>
      </c>
      <c r="B8">
        <v>6</v>
      </c>
      <c r="C8">
        <v>2</v>
      </c>
      <c r="E8" s="3">
        <f t="shared" si="0"/>
        <v>-4</v>
      </c>
    </row>
    <row r="9" spans="1:5" x14ac:dyDescent="0.25">
      <c r="A9" t="s">
        <v>80</v>
      </c>
      <c r="B9">
        <v>13</v>
      </c>
      <c r="C9">
        <v>0</v>
      </c>
      <c r="E9" s="3">
        <f t="shared" si="0"/>
        <v>-13</v>
      </c>
    </row>
    <row r="10" spans="1:5" x14ac:dyDescent="0.25">
      <c r="A10" t="s">
        <v>86</v>
      </c>
      <c r="B10">
        <v>12</v>
      </c>
      <c r="C10">
        <v>13</v>
      </c>
      <c r="E10" s="3">
        <f t="shared" si="0"/>
        <v>1</v>
      </c>
    </row>
    <row r="11" spans="1:5" x14ac:dyDescent="0.25">
      <c r="A11" t="s">
        <v>92</v>
      </c>
      <c r="B11">
        <v>9</v>
      </c>
      <c r="C11">
        <v>28</v>
      </c>
      <c r="E11" s="3">
        <f t="shared" si="0"/>
        <v>19</v>
      </c>
    </row>
    <row r="12" spans="1:5" x14ac:dyDescent="0.25">
      <c r="A12" t="s">
        <v>93</v>
      </c>
      <c r="B12">
        <v>2</v>
      </c>
      <c r="C12">
        <v>12</v>
      </c>
      <c r="E12" s="3">
        <f t="shared" si="0"/>
        <v>10</v>
      </c>
    </row>
    <row r="13" spans="1:5" x14ac:dyDescent="0.25">
      <c r="A13" t="s">
        <v>110</v>
      </c>
      <c r="B13">
        <v>14</v>
      </c>
      <c r="C13">
        <v>18</v>
      </c>
      <c r="E13" s="3">
        <f t="shared" si="0"/>
        <v>4</v>
      </c>
    </row>
    <row r="14" spans="1:5" x14ac:dyDescent="0.25">
      <c r="A14" t="s">
        <v>120</v>
      </c>
      <c r="B14">
        <v>14</v>
      </c>
      <c r="C14">
        <v>6</v>
      </c>
      <c r="E14" s="3">
        <f t="shared" si="0"/>
        <v>-8</v>
      </c>
    </row>
    <row r="15" spans="1:5" x14ac:dyDescent="0.25">
      <c r="A15" t="s">
        <v>125</v>
      </c>
      <c r="B15">
        <v>60</v>
      </c>
      <c r="C15">
        <v>82</v>
      </c>
      <c r="E15" s="3">
        <f t="shared" si="0"/>
        <v>22</v>
      </c>
    </row>
    <row r="16" spans="1:5" x14ac:dyDescent="0.25">
      <c r="A16" t="s">
        <v>130</v>
      </c>
      <c r="B16">
        <v>6</v>
      </c>
      <c r="C16">
        <v>41</v>
      </c>
      <c r="E16" s="3">
        <f t="shared" si="0"/>
        <v>35</v>
      </c>
    </row>
    <row r="17" spans="1:5" x14ac:dyDescent="0.25">
      <c r="A17" t="s">
        <v>145</v>
      </c>
      <c r="B17">
        <v>34</v>
      </c>
      <c r="C17">
        <v>58</v>
      </c>
      <c r="E17" s="3">
        <f t="shared" si="0"/>
        <v>24</v>
      </c>
    </row>
    <row r="18" spans="1:5" x14ac:dyDescent="0.25">
      <c r="A18" t="s">
        <v>144</v>
      </c>
      <c r="B18">
        <v>25</v>
      </c>
      <c r="C18">
        <v>33</v>
      </c>
      <c r="E18" s="3">
        <f t="shared" si="0"/>
        <v>8</v>
      </c>
    </row>
    <row r="19" spans="1:5" x14ac:dyDescent="0.25">
      <c r="A19" t="s">
        <v>132</v>
      </c>
      <c r="B19">
        <v>24</v>
      </c>
      <c r="C19">
        <v>14</v>
      </c>
      <c r="E19" s="3">
        <f t="shared" si="0"/>
        <v>-10</v>
      </c>
    </row>
    <row r="20" spans="1:5" x14ac:dyDescent="0.25">
      <c r="A20" t="s">
        <v>146</v>
      </c>
      <c r="B20">
        <v>58</v>
      </c>
      <c r="C20">
        <v>30</v>
      </c>
      <c r="E20" s="3">
        <f t="shared" si="0"/>
        <v>-28</v>
      </c>
    </row>
    <row r="21" spans="1:5" x14ac:dyDescent="0.25">
      <c r="A21" t="s">
        <v>147</v>
      </c>
      <c r="B21">
        <v>4</v>
      </c>
      <c r="C21">
        <v>5</v>
      </c>
      <c r="E21" s="3">
        <f t="shared" si="0"/>
        <v>1</v>
      </c>
    </row>
    <row r="22" spans="1:5" x14ac:dyDescent="0.25">
      <c r="A22" t="s">
        <v>155</v>
      </c>
      <c r="B22">
        <v>27</v>
      </c>
      <c r="C22">
        <v>27</v>
      </c>
      <c r="E22" s="3">
        <f t="shared" si="0"/>
        <v>0</v>
      </c>
    </row>
    <row r="23" spans="1:5" x14ac:dyDescent="0.25">
      <c r="A23" t="s">
        <v>158</v>
      </c>
      <c r="B23">
        <v>2</v>
      </c>
      <c r="C23">
        <v>40</v>
      </c>
      <c r="E23" s="3">
        <f t="shared" si="0"/>
        <v>38</v>
      </c>
    </row>
    <row r="24" spans="1:5" x14ac:dyDescent="0.25">
      <c r="A24" t="s">
        <v>162</v>
      </c>
      <c r="B24">
        <v>39</v>
      </c>
      <c r="C24">
        <v>33</v>
      </c>
      <c r="E24" s="3">
        <f t="shared" si="0"/>
        <v>-6</v>
      </c>
    </row>
    <row r="25" spans="1:5" x14ac:dyDescent="0.25">
      <c r="A25" t="s">
        <v>160</v>
      </c>
      <c r="B25">
        <v>90</v>
      </c>
      <c r="C25">
        <v>81</v>
      </c>
      <c r="E25" s="3">
        <f t="shared" si="0"/>
        <v>-9</v>
      </c>
    </row>
    <row r="26" spans="1:5" x14ac:dyDescent="0.25">
      <c r="A26" t="s">
        <v>173</v>
      </c>
      <c r="B26">
        <v>14</v>
      </c>
      <c r="C26">
        <v>12</v>
      </c>
      <c r="E26" s="3">
        <f t="shared" ref="E26:E30" si="1">C26-B26</f>
        <v>-2</v>
      </c>
    </row>
    <row r="27" spans="1:5" x14ac:dyDescent="0.25">
      <c r="A27" t="s">
        <v>174</v>
      </c>
      <c r="B27">
        <v>15</v>
      </c>
      <c r="C27">
        <v>13</v>
      </c>
      <c r="E27" s="3">
        <f t="shared" si="1"/>
        <v>-2</v>
      </c>
    </row>
    <row r="28" spans="1:5" x14ac:dyDescent="0.25">
      <c r="A28" t="s">
        <v>175</v>
      </c>
      <c r="B28">
        <v>36</v>
      </c>
      <c r="C28">
        <v>15</v>
      </c>
      <c r="E28" s="3">
        <f t="shared" si="1"/>
        <v>-21</v>
      </c>
    </row>
    <row r="29" spans="1:5" x14ac:dyDescent="0.25">
      <c r="A29" t="s">
        <v>187</v>
      </c>
      <c r="B29">
        <v>43</v>
      </c>
      <c r="C29">
        <v>37</v>
      </c>
      <c r="E29" s="3">
        <f t="shared" si="1"/>
        <v>-6</v>
      </c>
    </row>
    <row r="30" spans="1:5" x14ac:dyDescent="0.25">
      <c r="A30" t="s">
        <v>186</v>
      </c>
      <c r="B30">
        <v>25</v>
      </c>
      <c r="C30">
        <v>58</v>
      </c>
      <c r="E30" s="3">
        <f t="shared" si="1"/>
        <v>33</v>
      </c>
    </row>
    <row r="31" spans="1:5" x14ac:dyDescent="0.25">
      <c r="E31" s="3"/>
    </row>
    <row r="32" spans="1:5" x14ac:dyDescent="0.25">
      <c r="A32" s="25" t="s">
        <v>1</v>
      </c>
      <c r="E32" s="3"/>
    </row>
    <row r="33" spans="1:5" x14ac:dyDescent="0.25">
      <c r="A33" t="s">
        <v>3</v>
      </c>
      <c r="B33">
        <v>27</v>
      </c>
      <c r="C33">
        <v>8</v>
      </c>
      <c r="E33" s="3">
        <f t="shared" si="0"/>
        <v>-19</v>
      </c>
    </row>
    <row r="34" spans="1:5" x14ac:dyDescent="0.25">
      <c r="A34" t="s">
        <v>13</v>
      </c>
      <c r="B34">
        <v>41</v>
      </c>
      <c r="C34">
        <v>24</v>
      </c>
      <c r="E34" s="3">
        <f t="shared" si="0"/>
        <v>-17</v>
      </c>
    </row>
    <row r="35" spans="1:5" x14ac:dyDescent="0.25">
      <c r="A35" t="s">
        <v>68</v>
      </c>
      <c r="B35">
        <v>23</v>
      </c>
      <c r="C35">
        <v>18</v>
      </c>
      <c r="E35" s="3">
        <f t="shared" si="0"/>
        <v>-5</v>
      </c>
    </row>
    <row r="36" spans="1:5" x14ac:dyDescent="0.25">
      <c r="A36" t="s">
        <v>69</v>
      </c>
      <c r="B36">
        <v>14</v>
      </c>
      <c r="C36">
        <v>12</v>
      </c>
      <c r="E36" s="3">
        <f t="shared" si="0"/>
        <v>-2</v>
      </c>
    </row>
    <row r="37" spans="1:5" x14ac:dyDescent="0.25">
      <c r="A37" t="s">
        <v>70</v>
      </c>
      <c r="B37">
        <v>38</v>
      </c>
      <c r="C37">
        <v>18</v>
      </c>
      <c r="E37" s="3">
        <f t="shared" si="0"/>
        <v>-20</v>
      </c>
    </row>
    <row r="38" spans="1:5" x14ac:dyDescent="0.25">
      <c r="A38" t="s">
        <v>74</v>
      </c>
      <c r="B38">
        <v>27</v>
      </c>
      <c r="C38">
        <v>18</v>
      </c>
      <c r="E38" s="3">
        <f t="shared" si="0"/>
        <v>-9</v>
      </c>
    </row>
    <row r="39" spans="1:5" x14ac:dyDescent="0.25">
      <c r="A39" t="s">
        <v>79</v>
      </c>
      <c r="B39">
        <v>4</v>
      </c>
      <c r="C39">
        <v>5</v>
      </c>
      <c r="E39" s="3">
        <f t="shared" si="0"/>
        <v>1</v>
      </c>
    </row>
    <row r="40" spans="1:5" x14ac:dyDescent="0.25">
      <c r="A40" t="s">
        <v>80</v>
      </c>
      <c r="B40">
        <v>1</v>
      </c>
      <c r="C40">
        <v>1</v>
      </c>
      <c r="E40" s="3">
        <f t="shared" si="0"/>
        <v>0</v>
      </c>
    </row>
    <row r="41" spans="1:5" x14ac:dyDescent="0.25">
      <c r="A41" t="s">
        <v>86</v>
      </c>
      <c r="B41">
        <v>24</v>
      </c>
      <c r="C41">
        <v>23</v>
      </c>
      <c r="E41" s="3">
        <f t="shared" si="0"/>
        <v>-1</v>
      </c>
    </row>
    <row r="42" spans="1:5" x14ac:dyDescent="0.25">
      <c r="A42" t="s">
        <v>92</v>
      </c>
      <c r="B42">
        <v>18</v>
      </c>
      <c r="C42">
        <v>13</v>
      </c>
      <c r="E42" s="3">
        <f t="shared" si="0"/>
        <v>-5</v>
      </c>
    </row>
    <row r="43" spans="1:5" x14ac:dyDescent="0.25">
      <c r="A43" t="s">
        <v>93</v>
      </c>
      <c r="B43">
        <v>1</v>
      </c>
      <c r="C43">
        <v>9</v>
      </c>
      <c r="E43" s="3">
        <f t="shared" si="0"/>
        <v>8</v>
      </c>
    </row>
    <row r="44" spans="1:5" x14ac:dyDescent="0.25">
      <c r="A44" t="s">
        <v>110</v>
      </c>
      <c r="B44">
        <v>18</v>
      </c>
      <c r="C44">
        <v>42</v>
      </c>
      <c r="E44" s="3">
        <f t="shared" si="0"/>
        <v>24</v>
      </c>
    </row>
    <row r="45" spans="1:5" x14ac:dyDescent="0.25">
      <c r="A45" t="s">
        <v>120</v>
      </c>
      <c r="B45">
        <v>16</v>
      </c>
      <c r="C45">
        <v>6</v>
      </c>
      <c r="E45" s="3">
        <f t="shared" si="0"/>
        <v>-10</v>
      </c>
    </row>
    <row r="46" spans="1:5" ht="18" customHeight="1" x14ac:dyDescent="0.25">
      <c r="A46" t="s">
        <v>125</v>
      </c>
      <c r="B46">
        <v>40</v>
      </c>
      <c r="C46">
        <v>66</v>
      </c>
      <c r="E46" s="3">
        <f t="shared" si="0"/>
        <v>26</v>
      </c>
    </row>
    <row r="47" spans="1:5" x14ac:dyDescent="0.25">
      <c r="A47" t="s">
        <v>130</v>
      </c>
      <c r="B47">
        <v>34</v>
      </c>
      <c r="C47">
        <v>21</v>
      </c>
      <c r="E47" s="3">
        <f t="shared" si="0"/>
        <v>-13</v>
      </c>
    </row>
    <row r="48" spans="1:5" x14ac:dyDescent="0.25">
      <c r="A48" t="s">
        <v>145</v>
      </c>
      <c r="B48">
        <v>69</v>
      </c>
      <c r="C48">
        <v>64</v>
      </c>
      <c r="E48" s="3">
        <f t="shared" si="0"/>
        <v>-5</v>
      </c>
    </row>
    <row r="49" spans="1:5" x14ac:dyDescent="0.25">
      <c r="A49" t="s">
        <v>144</v>
      </c>
      <c r="B49">
        <v>17</v>
      </c>
      <c r="C49">
        <v>14</v>
      </c>
      <c r="E49" s="3">
        <f t="shared" si="0"/>
        <v>-3</v>
      </c>
    </row>
    <row r="50" spans="1:5" x14ac:dyDescent="0.25">
      <c r="A50" t="s">
        <v>132</v>
      </c>
      <c r="B50">
        <v>17</v>
      </c>
      <c r="C50">
        <v>25</v>
      </c>
      <c r="E50" s="3">
        <f t="shared" si="0"/>
        <v>8</v>
      </c>
    </row>
    <row r="51" spans="1:5" x14ac:dyDescent="0.25">
      <c r="A51" t="s">
        <v>146</v>
      </c>
      <c r="B51">
        <v>73</v>
      </c>
      <c r="C51">
        <v>51</v>
      </c>
      <c r="E51" s="3">
        <f t="shared" si="0"/>
        <v>-22</v>
      </c>
    </row>
    <row r="52" spans="1:5" x14ac:dyDescent="0.25">
      <c r="A52" t="s">
        <v>147</v>
      </c>
      <c r="B52">
        <v>30</v>
      </c>
      <c r="C52">
        <v>28</v>
      </c>
      <c r="E52" s="3">
        <f t="shared" si="0"/>
        <v>-2</v>
      </c>
    </row>
    <row r="53" spans="1:5" x14ac:dyDescent="0.25">
      <c r="A53" t="s">
        <v>155</v>
      </c>
      <c r="B53">
        <v>2</v>
      </c>
      <c r="C53">
        <v>16</v>
      </c>
      <c r="E53" s="3">
        <f t="shared" si="0"/>
        <v>14</v>
      </c>
    </row>
    <row r="54" spans="1:5" x14ac:dyDescent="0.25">
      <c r="A54" t="s">
        <v>158</v>
      </c>
      <c r="B54">
        <v>3</v>
      </c>
      <c r="C54">
        <v>15</v>
      </c>
      <c r="E54" s="3">
        <f t="shared" si="0"/>
        <v>12</v>
      </c>
    </row>
    <row r="55" spans="1:5" x14ac:dyDescent="0.25">
      <c r="A55" t="s">
        <v>162</v>
      </c>
      <c r="B55">
        <v>67</v>
      </c>
      <c r="C55">
        <v>29</v>
      </c>
      <c r="E55" s="3">
        <f t="shared" si="0"/>
        <v>-38</v>
      </c>
    </row>
    <row r="56" spans="1:5" x14ac:dyDescent="0.25">
      <c r="A56" t="s">
        <v>160</v>
      </c>
      <c r="B56">
        <v>81</v>
      </c>
      <c r="C56">
        <v>61</v>
      </c>
      <c r="E56" s="3">
        <f t="shared" si="0"/>
        <v>-20</v>
      </c>
    </row>
    <row r="57" spans="1:5" x14ac:dyDescent="0.25">
      <c r="A57" t="s">
        <v>173</v>
      </c>
      <c r="B57">
        <v>11</v>
      </c>
      <c r="C57">
        <v>15</v>
      </c>
      <c r="E57" s="3">
        <f t="shared" si="0"/>
        <v>4</v>
      </c>
    </row>
    <row r="58" spans="1:5" x14ac:dyDescent="0.25">
      <c r="A58" t="s">
        <v>174</v>
      </c>
      <c r="B58">
        <v>0</v>
      </c>
      <c r="C58">
        <v>11</v>
      </c>
      <c r="E58" s="3">
        <f t="shared" si="0"/>
        <v>11</v>
      </c>
    </row>
    <row r="59" spans="1:5" x14ac:dyDescent="0.25">
      <c r="A59" t="s">
        <v>175</v>
      </c>
      <c r="B59">
        <v>17</v>
      </c>
      <c r="C59">
        <v>27</v>
      </c>
      <c r="E59" s="3">
        <f t="shared" si="0"/>
        <v>10</v>
      </c>
    </row>
    <row r="60" spans="1:5" x14ac:dyDescent="0.25">
      <c r="A60" t="s">
        <v>187</v>
      </c>
      <c r="B60">
        <v>8</v>
      </c>
      <c r="C60">
        <v>23</v>
      </c>
      <c r="E60" s="3">
        <f t="shared" ref="E60:E61" si="2">C60-B60</f>
        <v>15</v>
      </c>
    </row>
    <row r="61" spans="1:5" x14ac:dyDescent="0.25">
      <c r="A61" t="s">
        <v>186</v>
      </c>
      <c r="B61">
        <v>38</v>
      </c>
      <c r="C61">
        <v>14</v>
      </c>
      <c r="E61" s="3">
        <f t="shared" si="2"/>
        <v>-24</v>
      </c>
    </row>
    <row r="62" spans="1:5" x14ac:dyDescent="0.25">
      <c r="E62" s="3"/>
    </row>
    <row r="63" spans="1:5" x14ac:dyDescent="0.25">
      <c r="D63" s="25"/>
      <c r="E63" s="37"/>
    </row>
    <row r="64" spans="1:5" x14ac:dyDescent="0.25">
      <c r="E64" s="3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66"/>
  <sheetViews>
    <sheetView zoomScale="55" zoomScaleNormal="55" workbookViewId="0">
      <selection activeCell="J34" sqref="J34"/>
    </sheetView>
  </sheetViews>
  <sheetFormatPr defaultRowHeight="15" x14ac:dyDescent="0.25"/>
  <sheetData>
    <row r="1" spans="1:6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6" x14ac:dyDescent="0.25">
      <c r="A2" t="s">
        <v>3</v>
      </c>
      <c r="B2">
        <v>56</v>
      </c>
      <c r="C2">
        <v>61</v>
      </c>
      <c r="E2" s="3">
        <f>C2-B2</f>
        <v>5</v>
      </c>
      <c r="F2" s="3"/>
    </row>
    <row r="3" spans="1:6" x14ac:dyDescent="0.25">
      <c r="A3" t="s">
        <v>13</v>
      </c>
      <c r="B3">
        <v>30</v>
      </c>
      <c r="C3">
        <v>39</v>
      </c>
      <c r="E3" s="3">
        <f t="shared" ref="E3:E59" si="0">C3-B3</f>
        <v>9</v>
      </c>
    </row>
    <row r="4" spans="1:6" x14ac:dyDescent="0.25">
      <c r="A4" t="s">
        <v>68</v>
      </c>
      <c r="B4">
        <v>76</v>
      </c>
      <c r="C4">
        <v>76</v>
      </c>
      <c r="E4" s="3">
        <f t="shared" si="0"/>
        <v>0</v>
      </c>
    </row>
    <row r="5" spans="1:6" x14ac:dyDescent="0.25">
      <c r="A5" t="s">
        <v>69</v>
      </c>
      <c r="B5">
        <v>71</v>
      </c>
      <c r="C5">
        <v>83</v>
      </c>
      <c r="E5" s="3">
        <f t="shared" si="0"/>
        <v>12</v>
      </c>
    </row>
    <row r="6" spans="1:6" x14ac:dyDescent="0.25">
      <c r="A6" t="s">
        <v>70</v>
      </c>
      <c r="B6">
        <v>84</v>
      </c>
      <c r="C6">
        <v>94</v>
      </c>
      <c r="E6" s="3">
        <f t="shared" si="0"/>
        <v>10</v>
      </c>
    </row>
    <row r="7" spans="1:6" x14ac:dyDescent="0.25">
      <c r="A7" t="s">
        <v>74</v>
      </c>
      <c r="B7">
        <v>33</v>
      </c>
      <c r="C7">
        <v>63</v>
      </c>
      <c r="E7" s="3">
        <f t="shared" si="0"/>
        <v>30</v>
      </c>
    </row>
    <row r="8" spans="1:6" x14ac:dyDescent="0.25">
      <c r="A8" t="s">
        <v>79</v>
      </c>
      <c r="B8">
        <v>89</v>
      </c>
      <c r="C8">
        <v>98</v>
      </c>
      <c r="E8" s="3">
        <f t="shared" si="0"/>
        <v>9</v>
      </c>
    </row>
    <row r="9" spans="1:6" x14ac:dyDescent="0.25">
      <c r="A9" t="s">
        <v>80</v>
      </c>
      <c r="B9">
        <v>80</v>
      </c>
      <c r="C9">
        <v>71</v>
      </c>
      <c r="E9" s="3">
        <f t="shared" si="0"/>
        <v>-9</v>
      </c>
    </row>
    <row r="10" spans="1:6" x14ac:dyDescent="0.25">
      <c r="A10" t="s">
        <v>86</v>
      </c>
      <c r="B10">
        <v>57</v>
      </c>
      <c r="C10">
        <v>58</v>
      </c>
      <c r="E10" s="3">
        <f t="shared" si="0"/>
        <v>1</v>
      </c>
    </row>
    <row r="11" spans="1:6" x14ac:dyDescent="0.25">
      <c r="A11" t="s">
        <v>92</v>
      </c>
      <c r="B11">
        <v>64</v>
      </c>
      <c r="C11">
        <v>67</v>
      </c>
      <c r="E11" s="3">
        <f t="shared" si="0"/>
        <v>3</v>
      </c>
    </row>
    <row r="12" spans="1:6" x14ac:dyDescent="0.25">
      <c r="A12" t="s">
        <v>93</v>
      </c>
      <c r="B12">
        <v>63</v>
      </c>
      <c r="C12">
        <v>61</v>
      </c>
      <c r="E12" s="3">
        <f t="shared" si="0"/>
        <v>-2</v>
      </c>
    </row>
    <row r="13" spans="1:6" x14ac:dyDescent="0.25">
      <c r="A13" t="s">
        <v>110</v>
      </c>
      <c r="B13">
        <v>78</v>
      </c>
      <c r="C13">
        <v>82</v>
      </c>
      <c r="E13" s="3">
        <f t="shared" si="0"/>
        <v>4</v>
      </c>
    </row>
    <row r="14" spans="1:6" x14ac:dyDescent="0.25">
      <c r="A14" t="s">
        <v>120</v>
      </c>
      <c r="B14">
        <v>69</v>
      </c>
      <c r="C14">
        <v>85</v>
      </c>
      <c r="E14" s="3">
        <f t="shared" si="0"/>
        <v>16</v>
      </c>
    </row>
    <row r="15" spans="1:6" x14ac:dyDescent="0.25">
      <c r="A15" t="s">
        <v>125</v>
      </c>
      <c r="B15">
        <v>27</v>
      </c>
      <c r="C15">
        <v>17</v>
      </c>
      <c r="E15" s="3">
        <f t="shared" si="0"/>
        <v>-10</v>
      </c>
    </row>
    <row r="16" spans="1:6" x14ac:dyDescent="0.25">
      <c r="A16" t="s">
        <v>130</v>
      </c>
      <c r="B16">
        <v>83</v>
      </c>
      <c r="C16">
        <v>63</v>
      </c>
      <c r="E16" s="3">
        <f t="shared" si="0"/>
        <v>-20</v>
      </c>
    </row>
    <row r="17" spans="1:5" x14ac:dyDescent="0.25">
      <c r="A17" t="s">
        <v>145</v>
      </c>
      <c r="B17">
        <v>87</v>
      </c>
      <c r="C17">
        <v>45</v>
      </c>
      <c r="E17" s="3">
        <f t="shared" si="0"/>
        <v>-42</v>
      </c>
    </row>
    <row r="18" spans="1:5" x14ac:dyDescent="0.25">
      <c r="A18" t="s">
        <v>144</v>
      </c>
      <c r="B18">
        <v>64</v>
      </c>
      <c r="C18">
        <v>59</v>
      </c>
      <c r="E18" s="3">
        <f t="shared" si="0"/>
        <v>-5</v>
      </c>
    </row>
    <row r="19" spans="1:5" x14ac:dyDescent="0.25">
      <c r="A19" t="s">
        <v>132</v>
      </c>
      <c r="B19">
        <v>68</v>
      </c>
      <c r="C19">
        <v>75</v>
      </c>
      <c r="E19" s="3">
        <f t="shared" si="0"/>
        <v>7</v>
      </c>
    </row>
    <row r="20" spans="1:5" x14ac:dyDescent="0.25">
      <c r="A20" t="s">
        <v>146</v>
      </c>
      <c r="B20">
        <v>30</v>
      </c>
      <c r="C20">
        <v>65</v>
      </c>
      <c r="E20" s="3">
        <f t="shared" si="0"/>
        <v>35</v>
      </c>
    </row>
    <row r="21" spans="1:5" x14ac:dyDescent="0.25">
      <c r="A21" t="s">
        <v>147</v>
      </c>
      <c r="B21">
        <v>60</v>
      </c>
      <c r="C21">
        <v>82</v>
      </c>
      <c r="E21" s="3">
        <f t="shared" si="0"/>
        <v>22</v>
      </c>
    </row>
    <row r="22" spans="1:5" x14ac:dyDescent="0.25">
      <c r="A22" t="s">
        <v>155</v>
      </c>
      <c r="B22">
        <v>52</v>
      </c>
      <c r="C22">
        <v>53</v>
      </c>
      <c r="E22" s="3">
        <f t="shared" si="0"/>
        <v>1</v>
      </c>
    </row>
    <row r="23" spans="1:5" x14ac:dyDescent="0.25">
      <c r="A23" t="s">
        <v>158</v>
      </c>
      <c r="B23">
        <v>50</v>
      </c>
      <c r="C23">
        <v>44</v>
      </c>
      <c r="E23" s="3">
        <f t="shared" si="0"/>
        <v>-6</v>
      </c>
    </row>
    <row r="24" spans="1:5" x14ac:dyDescent="0.25">
      <c r="A24" t="s">
        <v>162</v>
      </c>
      <c r="B24">
        <v>60</v>
      </c>
      <c r="C24">
        <v>67</v>
      </c>
      <c r="E24" s="3">
        <f t="shared" si="0"/>
        <v>7</v>
      </c>
    </row>
    <row r="25" spans="1:5" x14ac:dyDescent="0.25">
      <c r="A25" t="s">
        <v>160</v>
      </c>
      <c r="B25">
        <v>66</v>
      </c>
      <c r="C25">
        <v>14</v>
      </c>
      <c r="E25" s="3">
        <f t="shared" si="0"/>
        <v>-52</v>
      </c>
    </row>
    <row r="26" spans="1:5" x14ac:dyDescent="0.25">
      <c r="A26" t="s">
        <v>173</v>
      </c>
      <c r="B26">
        <v>62</v>
      </c>
      <c r="C26">
        <v>61</v>
      </c>
      <c r="E26" s="3">
        <f t="shared" ref="E26:E30" si="1">C26-B26</f>
        <v>-1</v>
      </c>
    </row>
    <row r="27" spans="1:5" x14ac:dyDescent="0.25">
      <c r="A27" t="s">
        <v>174</v>
      </c>
      <c r="B27">
        <v>66</v>
      </c>
      <c r="C27">
        <v>72</v>
      </c>
      <c r="E27" s="3">
        <f t="shared" si="1"/>
        <v>6</v>
      </c>
    </row>
    <row r="28" spans="1:5" x14ac:dyDescent="0.25">
      <c r="A28" t="s">
        <v>175</v>
      </c>
      <c r="B28">
        <v>50</v>
      </c>
      <c r="C28">
        <v>46</v>
      </c>
      <c r="E28" s="3">
        <f t="shared" si="1"/>
        <v>-4</v>
      </c>
    </row>
    <row r="29" spans="1:5" x14ac:dyDescent="0.25">
      <c r="A29" t="s">
        <v>187</v>
      </c>
      <c r="B29">
        <v>57</v>
      </c>
      <c r="C29">
        <v>47</v>
      </c>
      <c r="E29" s="3">
        <f t="shared" si="1"/>
        <v>-10</v>
      </c>
    </row>
    <row r="30" spans="1:5" x14ac:dyDescent="0.25">
      <c r="A30" t="s">
        <v>186</v>
      </c>
      <c r="B30">
        <v>69</v>
      </c>
      <c r="C30">
        <v>46</v>
      </c>
      <c r="E30" s="3">
        <f t="shared" si="1"/>
        <v>-23</v>
      </c>
    </row>
    <row r="31" spans="1:5" x14ac:dyDescent="0.25">
      <c r="E31" s="3"/>
    </row>
    <row r="32" spans="1:5" s="25" customFormat="1" x14ac:dyDescent="0.25">
      <c r="A32" s="25" t="s">
        <v>1</v>
      </c>
      <c r="E32" s="27"/>
    </row>
    <row r="33" spans="1:5" x14ac:dyDescent="0.25">
      <c r="A33" t="s">
        <v>3</v>
      </c>
      <c r="B33">
        <v>66</v>
      </c>
      <c r="C33">
        <v>49</v>
      </c>
      <c r="E33" s="3">
        <f t="shared" si="0"/>
        <v>-17</v>
      </c>
    </row>
    <row r="34" spans="1:5" x14ac:dyDescent="0.25">
      <c r="A34" t="s">
        <v>13</v>
      </c>
      <c r="B34">
        <v>28</v>
      </c>
      <c r="C34">
        <v>44</v>
      </c>
      <c r="E34" s="3">
        <f t="shared" si="0"/>
        <v>16</v>
      </c>
    </row>
    <row r="35" spans="1:5" x14ac:dyDescent="0.25">
      <c r="A35" t="s">
        <v>68</v>
      </c>
      <c r="B35">
        <v>61</v>
      </c>
      <c r="C35">
        <v>77</v>
      </c>
      <c r="E35" s="3">
        <f t="shared" si="0"/>
        <v>16</v>
      </c>
    </row>
    <row r="36" spans="1:5" x14ac:dyDescent="0.25">
      <c r="A36" t="s">
        <v>69</v>
      </c>
      <c r="B36">
        <v>86</v>
      </c>
      <c r="C36">
        <v>85</v>
      </c>
      <c r="E36" s="3">
        <f t="shared" si="0"/>
        <v>-1</v>
      </c>
    </row>
    <row r="37" spans="1:5" x14ac:dyDescent="0.25">
      <c r="A37" t="s">
        <v>70</v>
      </c>
      <c r="B37">
        <v>66</v>
      </c>
      <c r="C37">
        <v>90</v>
      </c>
      <c r="E37" s="3">
        <f t="shared" si="0"/>
        <v>24</v>
      </c>
    </row>
    <row r="38" spans="1:5" x14ac:dyDescent="0.25">
      <c r="A38" t="s">
        <v>74</v>
      </c>
      <c r="B38">
        <v>62</v>
      </c>
      <c r="C38">
        <v>52</v>
      </c>
      <c r="E38" s="3">
        <f t="shared" si="0"/>
        <v>-10</v>
      </c>
    </row>
    <row r="39" spans="1:5" x14ac:dyDescent="0.25">
      <c r="A39" t="s">
        <v>79</v>
      </c>
      <c r="B39">
        <v>97</v>
      </c>
      <c r="C39">
        <v>95</v>
      </c>
      <c r="E39" s="3">
        <f t="shared" si="0"/>
        <v>-2</v>
      </c>
    </row>
    <row r="40" spans="1:5" x14ac:dyDescent="0.25">
      <c r="A40" t="s">
        <v>80</v>
      </c>
      <c r="B40">
        <v>99</v>
      </c>
      <c r="C40">
        <v>86</v>
      </c>
      <c r="E40" s="3">
        <f t="shared" si="0"/>
        <v>-13</v>
      </c>
    </row>
    <row r="41" spans="1:5" x14ac:dyDescent="0.25">
      <c r="A41" t="s">
        <v>86</v>
      </c>
      <c r="B41">
        <v>50</v>
      </c>
      <c r="C41">
        <v>53</v>
      </c>
      <c r="E41" s="3">
        <f t="shared" si="0"/>
        <v>3</v>
      </c>
    </row>
    <row r="42" spans="1:5" x14ac:dyDescent="0.25">
      <c r="A42" t="s">
        <v>92</v>
      </c>
      <c r="B42">
        <v>51</v>
      </c>
      <c r="C42">
        <v>78</v>
      </c>
      <c r="E42" s="3">
        <f t="shared" si="0"/>
        <v>27</v>
      </c>
    </row>
    <row r="43" spans="1:5" x14ac:dyDescent="0.25">
      <c r="A43" t="s">
        <v>93</v>
      </c>
      <c r="B43">
        <v>71</v>
      </c>
      <c r="C43">
        <v>79</v>
      </c>
      <c r="E43" s="3">
        <f t="shared" si="0"/>
        <v>8</v>
      </c>
    </row>
    <row r="44" spans="1:5" x14ac:dyDescent="0.25">
      <c r="A44" t="s">
        <v>110</v>
      </c>
      <c r="B44">
        <v>87</v>
      </c>
      <c r="C44">
        <v>69</v>
      </c>
      <c r="E44" s="3">
        <f t="shared" si="0"/>
        <v>-18</v>
      </c>
    </row>
    <row r="45" spans="1:5" x14ac:dyDescent="0.25">
      <c r="A45" t="s">
        <v>120</v>
      </c>
      <c r="B45">
        <v>43</v>
      </c>
      <c r="C45">
        <v>69</v>
      </c>
      <c r="E45" s="3">
        <f t="shared" si="0"/>
        <v>26</v>
      </c>
    </row>
    <row r="46" spans="1:5" x14ac:dyDescent="0.25">
      <c r="A46" t="s">
        <v>125</v>
      </c>
      <c r="B46">
        <v>68</v>
      </c>
      <c r="C46">
        <v>27</v>
      </c>
      <c r="E46" s="3">
        <f t="shared" si="0"/>
        <v>-41</v>
      </c>
    </row>
    <row r="47" spans="1:5" x14ac:dyDescent="0.25">
      <c r="A47" t="s">
        <v>130</v>
      </c>
      <c r="B47">
        <v>58</v>
      </c>
      <c r="C47">
        <v>73</v>
      </c>
      <c r="E47" s="3">
        <f t="shared" si="0"/>
        <v>15</v>
      </c>
    </row>
    <row r="48" spans="1:5" x14ac:dyDescent="0.25">
      <c r="A48" t="s">
        <v>145</v>
      </c>
      <c r="B48">
        <v>75</v>
      </c>
      <c r="C48">
        <v>46</v>
      </c>
      <c r="E48" s="3">
        <f t="shared" si="0"/>
        <v>-29</v>
      </c>
    </row>
    <row r="49" spans="1:5" x14ac:dyDescent="0.25">
      <c r="A49" t="s">
        <v>144</v>
      </c>
      <c r="B49">
        <v>53</v>
      </c>
      <c r="C49">
        <v>68</v>
      </c>
      <c r="E49" s="3">
        <f t="shared" si="0"/>
        <v>15</v>
      </c>
    </row>
    <row r="50" spans="1:5" x14ac:dyDescent="0.25">
      <c r="A50" t="s">
        <v>132</v>
      </c>
      <c r="B50">
        <v>48</v>
      </c>
      <c r="C50">
        <v>70</v>
      </c>
      <c r="E50" s="3">
        <f t="shared" si="0"/>
        <v>22</v>
      </c>
    </row>
    <row r="51" spans="1:5" x14ac:dyDescent="0.25">
      <c r="A51" t="s">
        <v>146</v>
      </c>
      <c r="B51">
        <v>20</v>
      </c>
      <c r="C51">
        <v>55</v>
      </c>
      <c r="E51" s="3">
        <f t="shared" si="0"/>
        <v>35</v>
      </c>
    </row>
    <row r="52" spans="1:5" x14ac:dyDescent="0.25">
      <c r="A52" t="s">
        <v>147</v>
      </c>
      <c r="B52">
        <v>61</v>
      </c>
      <c r="C52">
        <v>55</v>
      </c>
      <c r="E52" s="3">
        <f t="shared" si="0"/>
        <v>-6</v>
      </c>
    </row>
    <row r="53" spans="1:5" x14ac:dyDescent="0.25">
      <c r="A53" t="s">
        <v>155</v>
      </c>
      <c r="B53">
        <v>63</v>
      </c>
      <c r="C53">
        <v>32</v>
      </c>
      <c r="E53" s="3">
        <f t="shared" si="0"/>
        <v>-31</v>
      </c>
    </row>
    <row r="54" spans="1:5" x14ac:dyDescent="0.25">
      <c r="A54" t="s">
        <v>158</v>
      </c>
      <c r="B54">
        <v>22</v>
      </c>
      <c r="C54">
        <v>48</v>
      </c>
      <c r="E54" s="3">
        <f t="shared" si="0"/>
        <v>26</v>
      </c>
    </row>
    <row r="55" spans="1:5" x14ac:dyDescent="0.25">
      <c r="A55" t="s">
        <v>162</v>
      </c>
      <c r="B55">
        <v>52</v>
      </c>
      <c r="C55">
        <v>68</v>
      </c>
      <c r="E55" s="3">
        <f t="shared" si="0"/>
        <v>16</v>
      </c>
    </row>
    <row r="56" spans="1:5" x14ac:dyDescent="0.25">
      <c r="A56" t="s">
        <v>160</v>
      </c>
      <c r="B56">
        <v>12</v>
      </c>
      <c r="C56">
        <v>23</v>
      </c>
      <c r="E56" s="3">
        <f t="shared" si="0"/>
        <v>11</v>
      </c>
    </row>
    <row r="57" spans="1:5" x14ac:dyDescent="0.25">
      <c r="A57" t="s">
        <v>173</v>
      </c>
      <c r="B57">
        <v>65</v>
      </c>
      <c r="C57">
        <v>49</v>
      </c>
      <c r="E57" s="3">
        <f t="shared" si="0"/>
        <v>-16</v>
      </c>
    </row>
    <row r="58" spans="1:5" x14ac:dyDescent="0.25">
      <c r="A58" t="s">
        <v>174</v>
      </c>
      <c r="B58">
        <v>51</v>
      </c>
      <c r="C58">
        <v>69</v>
      </c>
      <c r="E58" s="3">
        <f t="shared" si="0"/>
        <v>18</v>
      </c>
    </row>
    <row r="59" spans="1:5" x14ac:dyDescent="0.25">
      <c r="A59" t="s">
        <v>175</v>
      </c>
      <c r="B59">
        <v>51</v>
      </c>
      <c r="C59">
        <v>65</v>
      </c>
      <c r="E59" s="3">
        <f t="shared" si="0"/>
        <v>14</v>
      </c>
    </row>
    <row r="60" spans="1:5" x14ac:dyDescent="0.25">
      <c r="A60" t="s">
        <v>187</v>
      </c>
      <c r="B60">
        <v>52</v>
      </c>
      <c r="C60">
        <v>56</v>
      </c>
      <c r="E60" s="3">
        <f t="shared" ref="E60:E61" si="2">C60-B60</f>
        <v>4</v>
      </c>
    </row>
    <row r="61" spans="1:5" x14ac:dyDescent="0.25">
      <c r="A61" t="s">
        <v>186</v>
      </c>
      <c r="B61">
        <v>55</v>
      </c>
      <c r="C61">
        <v>68</v>
      </c>
      <c r="E61" s="3">
        <f t="shared" si="2"/>
        <v>13</v>
      </c>
    </row>
    <row r="62" spans="1:5" x14ac:dyDescent="0.25">
      <c r="E62" s="3"/>
    </row>
    <row r="63" spans="1:5" x14ac:dyDescent="0.25">
      <c r="D63" s="25"/>
      <c r="E63" s="37"/>
    </row>
    <row r="64" spans="1:5" x14ac:dyDescent="0.25">
      <c r="E64" s="3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6"/>
  <sheetViews>
    <sheetView zoomScale="55" zoomScaleNormal="55" workbookViewId="0">
      <selection activeCell="J30" sqref="J30"/>
    </sheetView>
  </sheetViews>
  <sheetFormatPr defaultRowHeight="15" x14ac:dyDescent="0.25"/>
  <sheetData>
    <row r="1" spans="1:6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6" x14ac:dyDescent="0.25">
      <c r="A2" t="s">
        <v>3</v>
      </c>
      <c r="B2">
        <v>41</v>
      </c>
      <c r="C2">
        <v>32</v>
      </c>
      <c r="E2" s="3">
        <f>C2-B2</f>
        <v>-9</v>
      </c>
      <c r="F2" s="3"/>
    </row>
    <row r="3" spans="1:6" x14ac:dyDescent="0.25">
      <c r="A3" t="s">
        <v>13</v>
      </c>
      <c r="B3">
        <v>81</v>
      </c>
      <c r="C3">
        <v>62</v>
      </c>
      <c r="E3" s="3">
        <f t="shared" ref="E3:E59" si="0">C3-B3</f>
        <v>-19</v>
      </c>
    </row>
    <row r="4" spans="1:6" x14ac:dyDescent="0.25">
      <c r="A4" t="s">
        <v>68</v>
      </c>
      <c r="B4">
        <v>56</v>
      </c>
      <c r="C4">
        <v>89</v>
      </c>
      <c r="E4" s="3">
        <f t="shared" si="0"/>
        <v>33</v>
      </c>
    </row>
    <row r="5" spans="1:6" x14ac:dyDescent="0.25">
      <c r="A5" t="s">
        <v>69</v>
      </c>
      <c r="B5">
        <v>44</v>
      </c>
      <c r="C5">
        <v>67</v>
      </c>
      <c r="E5" s="3">
        <f t="shared" si="0"/>
        <v>23</v>
      </c>
    </row>
    <row r="6" spans="1:6" x14ac:dyDescent="0.25">
      <c r="A6" t="s">
        <v>70</v>
      </c>
      <c r="B6">
        <v>6</v>
      </c>
      <c r="C6">
        <v>2</v>
      </c>
      <c r="E6" s="3">
        <f t="shared" si="0"/>
        <v>-4</v>
      </c>
    </row>
    <row r="7" spans="1:6" x14ac:dyDescent="0.25">
      <c r="A7" t="s">
        <v>74</v>
      </c>
      <c r="B7">
        <v>21</v>
      </c>
      <c r="C7">
        <v>55</v>
      </c>
      <c r="E7" s="3">
        <f t="shared" si="0"/>
        <v>34</v>
      </c>
    </row>
    <row r="8" spans="1:6" x14ac:dyDescent="0.25">
      <c r="A8" t="s">
        <v>79</v>
      </c>
      <c r="B8">
        <v>61</v>
      </c>
      <c r="C8">
        <v>85</v>
      </c>
      <c r="E8" s="3">
        <f t="shared" si="0"/>
        <v>24</v>
      </c>
    </row>
    <row r="9" spans="1:6" x14ac:dyDescent="0.25">
      <c r="A9" t="s">
        <v>80</v>
      </c>
      <c r="B9">
        <v>50</v>
      </c>
      <c r="C9">
        <v>53</v>
      </c>
      <c r="E9" s="3">
        <f t="shared" si="0"/>
        <v>3</v>
      </c>
    </row>
    <row r="10" spans="1:6" x14ac:dyDescent="0.25">
      <c r="A10" t="s">
        <v>86</v>
      </c>
      <c r="B10">
        <v>56</v>
      </c>
      <c r="C10">
        <v>52</v>
      </c>
      <c r="E10" s="3">
        <f t="shared" si="0"/>
        <v>-4</v>
      </c>
    </row>
    <row r="11" spans="1:6" x14ac:dyDescent="0.25">
      <c r="A11" t="s">
        <v>92</v>
      </c>
      <c r="B11">
        <v>58</v>
      </c>
      <c r="C11">
        <v>44</v>
      </c>
      <c r="E11" s="3">
        <f t="shared" si="0"/>
        <v>-14</v>
      </c>
    </row>
    <row r="12" spans="1:6" x14ac:dyDescent="0.25">
      <c r="A12" t="s">
        <v>93</v>
      </c>
      <c r="B12">
        <v>82</v>
      </c>
      <c r="C12">
        <v>31</v>
      </c>
      <c r="E12" s="3">
        <f t="shared" si="0"/>
        <v>-51</v>
      </c>
    </row>
    <row r="13" spans="1:6" x14ac:dyDescent="0.25">
      <c r="A13" t="s">
        <v>110</v>
      </c>
      <c r="B13">
        <v>65</v>
      </c>
      <c r="C13">
        <v>79</v>
      </c>
      <c r="E13" s="3">
        <f t="shared" si="0"/>
        <v>14</v>
      </c>
    </row>
    <row r="14" spans="1:6" x14ac:dyDescent="0.25">
      <c r="A14" t="s">
        <v>120</v>
      </c>
      <c r="B14">
        <v>20</v>
      </c>
      <c r="C14">
        <v>17</v>
      </c>
      <c r="E14" s="3">
        <f t="shared" si="0"/>
        <v>-3</v>
      </c>
    </row>
    <row r="15" spans="1:6" x14ac:dyDescent="0.25">
      <c r="A15" t="s">
        <v>125</v>
      </c>
      <c r="B15">
        <v>68</v>
      </c>
      <c r="C15">
        <v>15</v>
      </c>
      <c r="E15" s="3">
        <f t="shared" si="0"/>
        <v>-53</v>
      </c>
    </row>
    <row r="16" spans="1:6" x14ac:dyDescent="0.25">
      <c r="A16" t="s">
        <v>130</v>
      </c>
      <c r="B16">
        <v>82</v>
      </c>
      <c r="C16">
        <v>39</v>
      </c>
      <c r="E16" s="3">
        <f t="shared" si="0"/>
        <v>-43</v>
      </c>
    </row>
    <row r="17" spans="1:5" x14ac:dyDescent="0.25">
      <c r="A17" t="s">
        <v>145</v>
      </c>
      <c r="B17">
        <v>50</v>
      </c>
      <c r="C17">
        <v>65</v>
      </c>
      <c r="E17" s="3">
        <f t="shared" si="0"/>
        <v>15</v>
      </c>
    </row>
    <row r="18" spans="1:5" x14ac:dyDescent="0.25">
      <c r="A18" t="s">
        <v>144</v>
      </c>
      <c r="B18">
        <v>92</v>
      </c>
      <c r="C18">
        <v>93</v>
      </c>
      <c r="E18" s="3">
        <f t="shared" si="0"/>
        <v>1</v>
      </c>
    </row>
    <row r="19" spans="1:5" x14ac:dyDescent="0.25">
      <c r="A19" t="s">
        <v>132</v>
      </c>
      <c r="B19">
        <v>76</v>
      </c>
      <c r="C19">
        <v>61</v>
      </c>
      <c r="E19" s="3">
        <f t="shared" si="0"/>
        <v>-15</v>
      </c>
    </row>
    <row r="20" spans="1:5" x14ac:dyDescent="0.25">
      <c r="A20" t="s">
        <v>146</v>
      </c>
      <c r="B20">
        <v>28</v>
      </c>
      <c r="C20">
        <v>13</v>
      </c>
      <c r="E20" s="3">
        <f t="shared" si="0"/>
        <v>-15</v>
      </c>
    </row>
    <row r="21" spans="1:5" x14ac:dyDescent="0.25">
      <c r="A21" t="s">
        <v>147</v>
      </c>
      <c r="B21">
        <v>54</v>
      </c>
      <c r="C21">
        <v>68</v>
      </c>
      <c r="E21" s="3">
        <f t="shared" si="0"/>
        <v>14</v>
      </c>
    </row>
    <row r="22" spans="1:5" x14ac:dyDescent="0.25">
      <c r="A22" t="s">
        <v>155</v>
      </c>
      <c r="B22">
        <v>82</v>
      </c>
      <c r="C22">
        <v>25</v>
      </c>
      <c r="E22" s="3">
        <f t="shared" si="0"/>
        <v>-57</v>
      </c>
    </row>
    <row r="23" spans="1:5" x14ac:dyDescent="0.25">
      <c r="A23" t="s">
        <v>158</v>
      </c>
      <c r="B23">
        <v>71</v>
      </c>
      <c r="C23">
        <v>20</v>
      </c>
      <c r="E23" s="3">
        <f t="shared" si="0"/>
        <v>-51</v>
      </c>
    </row>
    <row r="24" spans="1:5" x14ac:dyDescent="0.25">
      <c r="A24" t="s">
        <v>162</v>
      </c>
      <c r="B24">
        <v>21</v>
      </c>
      <c r="C24">
        <v>26</v>
      </c>
      <c r="E24" s="3">
        <f t="shared" si="0"/>
        <v>5</v>
      </c>
    </row>
    <row r="25" spans="1:5" x14ac:dyDescent="0.25">
      <c r="A25" t="s">
        <v>160</v>
      </c>
      <c r="B25">
        <v>3</v>
      </c>
      <c r="C25">
        <v>10</v>
      </c>
      <c r="E25" s="3">
        <f t="shared" si="0"/>
        <v>7</v>
      </c>
    </row>
    <row r="26" spans="1:5" x14ac:dyDescent="0.25">
      <c r="A26" t="s">
        <v>173</v>
      </c>
      <c r="B26">
        <v>65</v>
      </c>
      <c r="C26">
        <v>64</v>
      </c>
      <c r="E26" s="3">
        <f t="shared" ref="E26:E30" si="1">C26-B26</f>
        <v>-1</v>
      </c>
    </row>
    <row r="27" spans="1:5" x14ac:dyDescent="0.25">
      <c r="A27" t="s">
        <v>174</v>
      </c>
      <c r="B27">
        <v>58</v>
      </c>
      <c r="C27">
        <v>12</v>
      </c>
      <c r="E27" s="3">
        <f t="shared" si="1"/>
        <v>-46</v>
      </c>
    </row>
    <row r="28" spans="1:5" x14ac:dyDescent="0.25">
      <c r="A28" t="s">
        <v>175</v>
      </c>
      <c r="B28">
        <v>68</v>
      </c>
      <c r="C28">
        <v>69</v>
      </c>
      <c r="E28" s="3">
        <f t="shared" si="1"/>
        <v>1</v>
      </c>
    </row>
    <row r="29" spans="1:5" x14ac:dyDescent="0.25">
      <c r="A29" t="s">
        <v>187</v>
      </c>
      <c r="B29">
        <v>74</v>
      </c>
      <c r="C29">
        <v>28</v>
      </c>
      <c r="E29" s="3">
        <f t="shared" si="1"/>
        <v>-46</v>
      </c>
    </row>
    <row r="30" spans="1:5" x14ac:dyDescent="0.25">
      <c r="A30" t="s">
        <v>186</v>
      </c>
      <c r="B30">
        <v>30</v>
      </c>
      <c r="C30">
        <v>18</v>
      </c>
      <c r="E30" s="3">
        <f t="shared" si="1"/>
        <v>-12</v>
      </c>
    </row>
    <row r="31" spans="1:5" x14ac:dyDescent="0.25">
      <c r="E31" s="3"/>
    </row>
    <row r="32" spans="1:5" s="25" customFormat="1" x14ac:dyDescent="0.25">
      <c r="A32" s="25" t="s">
        <v>1</v>
      </c>
      <c r="E32" s="27"/>
    </row>
    <row r="33" spans="1:5" x14ac:dyDescent="0.25">
      <c r="A33" t="s">
        <v>3</v>
      </c>
      <c r="B33">
        <v>26</v>
      </c>
      <c r="C33">
        <v>21</v>
      </c>
      <c r="E33" s="3">
        <f t="shared" si="0"/>
        <v>-5</v>
      </c>
    </row>
    <row r="34" spans="1:5" x14ac:dyDescent="0.25">
      <c r="A34" t="s">
        <v>13</v>
      </c>
      <c r="B34">
        <v>70</v>
      </c>
      <c r="C34">
        <v>76</v>
      </c>
      <c r="E34" s="3">
        <f t="shared" si="0"/>
        <v>6</v>
      </c>
    </row>
    <row r="35" spans="1:5" x14ac:dyDescent="0.25">
      <c r="A35" t="s">
        <v>68</v>
      </c>
      <c r="B35">
        <v>52</v>
      </c>
      <c r="C35">
        <v>77</v>
      </c>
      <c r="E35" s="3">
        <f t="shared" si="0"/>
        <v>25</v>
      </c>
    </row>
    <row r="36" spans="1:5" x14ac:dyDescent="0.25">
      <c r="A36" t="s">
        <v>69</v>
      </c>
      <c r="B36">
        <v>65</v>
      </c>
      <c r="C36">
        <v>72</v>
      </c>
      <c r="E36" s="3">
        <f t="shared" si="0"/>
        <v>7</v>
      </c>
    </row>
    <row r="37" spans="1:5" x14ac:dyDescent="0.25">
      <c r="A37" t="s">
        <v>70</v>
      </c>
      <c r="B37">
        <v>4</v>
      </c>
      <c r="C37">
        <v>20</v>
      </c>
      <c r="E37" s="3">
        <f t="shared" si="0"/>
        <v>16</v>
      </c>
    </row>
    <row r="38" spans="1:5" x14ac:dyDescent="0.25">
      <c r="A38" t="s">
        <v>74</v>
      </c>
      <c r="B38">
        <v>63</v>
      </c>
      <c r="C38">
        <v>56</v>
      </c>
      <c r="E38" s="3">
        <f t="shared" si="0"/>
        <v>-7</v>
      </c>
    </row>
    <row r="39" spans="1:5" x14ac:dyDescent="0.25">
      <c r="A39" t="s">
        <v>79</v>
      </c>
      <c r="B39">
        <v>83</v>
      </c>
      <c r="C39">
        <v>80</v>
      </c>
      <c r="E39" s="3">
        <f t="shared" si="0"/>
        <v>-3</v>
      </c>
    </row>
    <row r="40" spans="1:5" x14ac:dyDescent="0.25">
      <c r="A40" t="s">
        <v>80</v>
      </c>
      <c r="B40">
        <v>59</v>
      </c>
      <c r="C40">
        <v>26</v>
      </c>
      <c r="E40" s="3">
        <f t="shared" si="0"/>
        <v>-33</v>
      </c>
    </row>
    <row r="41" spans="1:5" x14ac:dyDescent="0.25">
      <c r="A41" t="s">
        <v>86</v>
      </c>
      <c r="B41">
        <v>66</v>
      </c>
      <c r="C41">
        <v>76</v>
      </c>
      <c r="E41" s="3">
        <f t="shared" si="0"/>
        <v>10</v>
      </c>
    </row>
    <row r="42" spans="1:5" x14ac:dyDescent="0.25">
      <c r="A42" t="s">
        <v>92</v>
      </c>
      <c r="B42">
        <v>42</v>
      </c>
      <c r="C42">
        <v>59</v>
      </c>
      <c r="E42" s="3">
        <f t="shared" si="0"/>
        <v>17</v>
      </c>
    </row>
    <row r="43" spans="1:5" x14ac:dyDescent="0.25">
      <c r="A43" t="s">
        <v>93</v>
      </c>
      <c r="B43">
        <v>22</v>
      </c>
      <c r="C43">
        <v>40</v>
      </c>
      <c r="E43" s="3">
        <f t="shared" si="0"/>
        <v>18</v>
      </c>
    </row>
    <row r="44" spans="1:5" x14ac:dyDescent="0.25">
      <c r="A44" t="s">
        <v>110</v>
      </c>
      <c r="B44">
        <v>72</v>
      </c>
      <c r="C44">
        <v>85</v>
      </c>
      <c r="E44" s="3">
        <f t="shared" si="0"/>
        <v>13</v>
      </c>
    </row>
    <row r="45" spans="1:5" x14ac:dyDescent="0.25">
      <c r="A45" t="s">
        <v>120</v>
      </c>
      <c r="B45">
        <v>66</v>
      </c>
      <c r="C45">
        <v>26</v>
      </c>
      <c r="E45" s="3">
        <f t="shared" si="0"/>
        <v>-40</v>
      </c>
    </row>
    <row r="46" spans="1:5" x14ac:dyDescent="0.25">
      <c r="A46" t="s">
        <v>125</v>
      </c>
      <c r="B46">
        <v>51</v>
      </c>
      <c r="C46">
        <v>71</v>
      </c>
      <c r="E46" s="3">
        <f t="shared" si="0"/>
        <v>20</v>
      </c>
    </row>
    <row r="47" spans="1:5" x14ac:dyDescent="0.25">
      <c r="A47" t="s">
        <v>130</v>
      </c>
      <c r="B47">
        <v>59</v>
      </c>
      <c r="C47">
        <v>21</v>
      </c>
      <c r="E47" s="3">
        <f t="shared" si="0"/>
        <v>-38</v>
      </c>
    </row>
    <row r="48" spans="1:5" x14ac:dyDescent="0.25">
      <c r="A48" t="s">
        <v>145</v>
      </c>
      <c r="B48">
        <v>86</v>
      </c>
      <c r="C48">
        <v>34</v>
      </c>
      <c r="E48" s="3">
        <f t="shared" si="0"/>
        <v>-52</v>
      </c>
    </row>
    <row r="49" spans="1:5" x14ac:dyDescent="0.25">
      <c r="A49" t="s">
        <v>144</v>
      </c>
      <c r="B49">
        <v>84</v>
      </c>
      <c r="C49">
        <v>93</v>
      </c>
      <c r="E49" s="3">
        <f t="shared" si="0"/>
        <v>9</v>
      </c>
    </row>
    <row r="50" spans="1:5" x14ac:dyDescent="0.25">
      <c r="A50" t="s">
        <v>132</v>
      </c>
      <c r="B50">
        <v>47</v>
      </c>
      <c r="C50">
        <v>76</v>
      </c>
      <c r="E50" s="3">
        <f t="shared" si="0"/>
        <v>29</v>
      </c>
    </row>
    <row r="51" spans="1:5" x14ac:dyDescent="0.25">
      <c r="A51" t="s">
        <v>146</v>
      </c>
      <c r="B51">
        <v>30</v>
      </c>
      <c r="C51">
        <v>16</v>
      </c>
      <c r="E51" s="3">
        <f t="shared" si="0"/>
        <v>-14</v>
      </c>
    </row>
    <row r="52" spans="1:5" x14ac:dyDescent="0.25">
      <c r="A52" t="s">
        <v>147</v>
      </c>
      <c r="B52">
        <v>64</v>
      </c>
      <c r="C52">
        <v>75</v>
      </c>
      <c r="E52" s="3">
        <f t="shared" si="0"/>
        <v>11</v>
      </c>
    </row>
    <row r="53" spans="1:5" x14ac:dyDescent="0.25">
      <c r="A53" t="s">
        <v>155</v>
      </c>
      <c r="B53">
        <v>62</v>
      </c>
      <c r="C53">
        <v>69</v>
      </c>
      <c r="E53" s="3">
        <f t="shared" si="0"/>
        <v>7</v>
      </c>
    </row>
    <row r="54" spans="1:5" x14ac:dyDescent="0.25">
      <c r="A54" t="s">
        <v>158</v>
      </c>
      <c r="B54">
        <v>76</v>
      </c>
      <c r="C54">
        <v>71</v>
      </c>
      <c r="E54" s="3">
        <f t="shared" si="0"/>
        <v>-5</v>
      </c>
    </row>
    <row r="55" spans="1:5" x14ac:dyDescent="0.25">
      <c r="A55" t="s">
        <v>162</v>
      </c>
      <c r="B55">
        <v>66</v>
      </c>
      <c r="C55">
        <v>49</v>
      </c>
      <c r="E55" s="3">
        <f t="shared" si="0"/>
        <v>-17</v>
      </c>
    </row>
    <row r="56" spans="1:5" x14ac:dyDescent="0.25">
      <c r="A56" t="s">
        <v>160</v>
      </c>
      <c r="B56">
        <v>14</v>
      </c>
      <c r="C56">
        <v>6</v>
      </c>
      <c r="E56" s="3">
        <f t="shared" si="0"/>
        <v>-8</v>
      </c>
    </row>
    <row r="57" spans="1:5" x14ac:dyDescent="0.25">
      <c r="A57" t="s">
        <v>173</v>
      </c>
      <c r="B57">
        <v>41</v>
      </c>
      <c r="C57">
        <v>40</v>
      </c>
      <c r="E57" s="3">
        <f t="shared" si="0"/>
        <v>-1</v>
      </c>
    </row>
    <row r="58" spans="1:5" x14ac:dyDescent="0.25">
      <c r="A58" t="s">
        <v>174</v>
      </c>
      <c r="B58">
        <v>26</v>
      </c>
      <c r="C58">
        <v>49</v>
      </c>
      <c r="E58" s="3">
        <f t="shared" si="0"/>
        <v>23</v>
      </c>
    </row>
    <row r="59" spans="1:5" x14ac:dyDescent="0.25">
      <c r="A59" t="s">
        <v>175</v>
      </c>
      <c r="B59">
        <v>50</v>
      </c>
      <c r="C59">
        <v>68</v>
      </c>
      <c r="E59" s="3">
        <f t="shared" si="0"/>
        <v>18</v>
      </c>
    </row>
    <row r="60" spans="1:5" x14ac:dyDescent="0.25">
      <c r="A60" t="s">
        <v>187</v>
      </c>
      <c r="B60">
        <v>88</v>
      </c>
      <c r="C60">
        <v>47</v>
      </c>
      <c r="E60" s="3">
        <f t="shared" ref="E60:E61" si="2">C60-B60</f>
        <v>-41</v>
      </c>
    </row>
    <row r="61" spans="1:5" x14ac:dyDescent="0.25">
      <c r="A61" t="s">
        <v>186</v>
      </c>
      <c r="B61">
        <v>13</v>
      </c>
      <c r="C61">
        <v>16</v>
      </c>
      <c r="E61" s="3">
        <f t="shared" si="2"/>
        <v>3</v>
      </c>
    </row>
    <row r="62" spans="1:5" x14ac:dyDescent="0.25">
      <c r="E62" s="3"/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71"/>
  <sheetViews>
    <sheetView zoomScale="55" zoomScaleNormal="55" workbookViewId="0">
      <selection activeCell="J34" sqref="J34"/>
    </sheetView>
  </sheetViews>
  <sheetFormatPr defaultRowHeight="15" x14ac:dyDescent="0.25"/>
  <sheetData>
    <row r="1" spans="1:6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6" x14ac:dyDescent="0.25">
      <c r="A2" t="s">
        <v>3</v>
      </c>
      <c r="B2">
        <v>60</v>
      </c>
      <c r="C2">
        <v>25</v>
      </c>
      <c r="E2" s="3">
        <f>C2-B2</f>
        <v>-35</v>
      </c>
      <c r="F2" s="3"/>
    </row>
    <row r="3" spans="1:6" x14ac:dyDescent="0.25">
      <c r="A3" t="s">
        <v>13</v>
      </c>
      <c r="B3">
        <v>19</v>
      </c>
      <c r="C3">
        <v>43</v>
      </c>
      <c r="E3" s="3">
        <f t="shared" ref="E3:E60" si="0">C3-B3</f>
        <v>24</v>
      </c>
    </row>
    <row r="4" spans="1:6" x14ac:dyDescent="0.25">
      <c r="A4" t="s">
        <v>68</v>
      </c>
      <c r="B4">
        <v>53</v>
      </c>
      <c r="C4">
        <v>56</v>
      </c>
      <c r="E4" s="3">
        <f t="shared" si="0"/>
        <v>3</v>
      </c>
    </row>
    <row r="5" spans="1:6" x14ac:dyDescent="0.25">
      <c r="A5" t="s">
        <v>69</v>
      </c>
      <c r="B5">
        <v>50</v>
      </c>
      <c r="C5">
        <v>61</v>
      </c>
      <c r="E5" s="3">
        <f t="shared" si="0"/>
        <v>11</v>
      </c>
    </row>
    <row r="6" spans="1:6" x14ac:dyDescent="0.25">
      <c r="A6" t="s">
        <v>70</v>
      </c>
      <c r="B6">
        <v>78</v>
      </c>
      <c r="C6">
        <v>63</v>
      </c>
      <c r="E6" s="3">
        <f t="shared" si="0"/>
        <v>-15</v>
      </c>
    </row>
    <row r="7" spans="1:6" x14ac:dyDescent="0.25">
      <c r="A7" t="s">
        <v>74</v>
      </c>
      <c r="B7">
        <v>22</v>
      </c>
      <c r="C7">
        <v>52</v>
      </c>
      <c r="E7" s="3">
        <f t="shared" si="0"/>
        <v>30</v>
      </c>
    </row>
    <row r="8" spans="1:6" x14ac:dyDescent="0.25">
      <c r="A8" t="s">
        <v>79</v>
      </c>
      <c r="B8">
        <v>83</v>
      </c>
      <c r="C8">
        <v>97</v>
      </c>
      <c r="E8" s="3">
        <f t="shared" si="0"/>
        <v>14</v>
      </c>
    </row>
    <row r="9" spans="1:6" x14ac:dyDescent="0.25">
      <c r="A9" t="s">
        <v>80</v>
      </c>
      <c r="B9">
        <v>55</v>
      </c>
      <c r="C9">
        <v>25</v>
      </c>
      <c r="E9" s="3">
        <f t="shared" si="0"/>
        <v>-30</v>
      </c>
    </row>
    <row r="10" spans="1:6" x14ac:dyDescent="0.25">
      <c r="A10" t="s">
        <v>86</v>
      </c>
      <c r="B10">
        <v>24</v>
      </c>
      <c r="C10">
        <v>19</v>
      </c>
      <c r="E10" s="3">
        <f t="shared" si="0"/>
        <v>-5</v>
      </c>
    </row>
    <row r="11" spans="1:6" x14ac:dyDescent="0.25">
      <c r="A11" t="s">
        <v>92</v>
      </c>
      <c r="B11">
        <v>63</v>
      </c>
      <c r="C11">
        <v>4</v>
      </c>
      <c r="E11" s="3">
        <f t="shared" si="0"/>
        <v>-59</v>
      </c>
    </row>
    <row r="12" spans="1:6" x14ac:dyDescent="0.25">
      <c r="A12" t="s">
        <v>93</v>
      </c>
      <c r="B12">
        <v>11</v>
      </c>
      <c r="C12">
        <v>47</v>
      </c>
      <c r="E12" s="3">
        <f t="shared" si="0"/>
        <v>36</v>
      </c>
    </row>
    <row r="13" spans="1:6" x14ac:dyDescent="0.25">
      <c r="A13" t="s">
        <v>110</v>
      </c>
      <c r="B13">
        <v>24</v>
      </c>
      <c r="C13">
        <v>10</v>
      </c>
      <c r="E13" s="3">
        <f t="shared" si="0"/>
        <v>-14</v>
      </c>
    </row>
    <row r="14" spans="1:6" x14ac:dyDescent="0.25">
      <c r="A14" t="s">
        <v>120</v>
      </c>
      <c r="B14">
        <v>26</v>
      </c>
      <c r="C14">
        <v>36</v>
      </c>
      <c r="E14" s="3">
        <f t="shared" si="0"/>
        <v>10</v>
      </c>
    </row>
    <row r="15" spans="1:6" x14ac:dyDescent="0.25">
      <c r="A15" t="s">
        <v>125</v>
      </c>
      <c r="B15">
        <v>1</v>
      </c>
      <c r="C15">
        <v>1</v>
      </c>
      <c r="E15" s="3">
        <f t="shared" si="0"/>
        <v>0</v>
      </c>
    </row>
    <row r="16" spans="1:6" x14ac:dyDescent="0.25">
      <c r="A16" t="s">
        <v>130</v>
      </c>
      <c r="B16">
        <v>45</v>
      </c>
      <c r="C16">
        <v>25</v>
      </c>
      <c r="E16" s="3">
        <f t="shared" si="0"/>
        <v>-20</v>
      </c>
    </row>
    <row r="17" spans="1:5" x14ac:dyDescent="0.25">
      <c r="A17" t="s">
        <v>145</v>
      </c>
      <c r="B17">
        <v>76</v>
      </c>
      <c r="C17">
        <v>39</v>
      </c>
      <c r="E17" s="3">
        <f t="shared" si="0"/>
        <v>-37</v>
      </c>
    </row>
    <row r="18" spans="1:5" x14ac:dyDescent="0.25">
      <c r="A18" t="s">
        <v>144</v>
      </c>
      <c r="B18">
        <v>22</v>
      </c>
      <c r="C18">
        <v>39</v>
      </c>
      <c r="E18" s="3">
        <f t="shared" si="0"/>
        <v>17</v>
      </c>
    </row>
    <row r="19" spans="1:5" x14ac:dyDescent="0.25">
      <c r="A19" t="s">
        <v>132</v>
      </c>
      <c r="B19">
        <v>62</v>
      </c>
      <c r="C19">
        <v>62</v>
      </c>
      <c r="E19" s="3">
        <f t="shared" si="0"/>
        <v>0</v>
      </c>
    </row>
    <row r="20" spans="1:5" x14ac:dyDescent="0.25">
      <c r="A20" t="s">
        <v>146</v>
      </c>
      <c r="B20">
        <v>15</v>
      </c>
      <c r="C20">
        <v>15</v>
      </c>
      <c r="E20" s="3">
        <f t="shared" si="0"/>
        <v>0</v>
      </c>
    </row>
    <row r="21" spans="1:5" x14ac:dyDescent="0.25">
      <c r="A21" t="s">
        <v>147</v>
      </c>
      <c r="B21">
        <v>57</v>
      </c>
      <c r="C21">
        <v>40</v>
      </c>
      <c r="E21" s="3">
        <f t="shared" si="0"/>
        <v>-17</v>
      </c>
    </row>
    <row r="22" spans="1:5" x14ac:dyDescent="0.25">
      <c r="A22" t="s">
        <v>155</v>
      </c>
      <c r="B22">
        <v>10</v>
      </c>
      <c r="C22">
        <v>1</v>
      </c>
      <c r="E22" s="3">
        <f t="shared" si="0"/>
        <v>-9</v>
      </c>
    </row>
    <row r="23" spans="1:5" x14ac:dyDescent="0.25">
      <c r="A23" t="s">
        <v>158</v>
      </c>
      <c r="B23">
        <v>3</v>
      </c>
      <c r="C23">
        <v>6</v>
      </c>
      <c r="E23" s="3">
        <f t="shared" si="0"/>
        <v>3</v>
      </c>
    </row>
    <row r="24" spans="1:5" x14ac:dyDescent="0.25">
      <c r="A24" t="s">
        <v>162</v>
      </c>
      <c r="B24">
        <v>24</v>
      </c>
      <c r="C24">
        <v>14</v>
      </c>
      <c r="E24" s="3">
        <f t="shared" si="0"/>
        <v>-10</v>
      </c>
    </row>
    <row r="25" spans="1:5" x14ac:dyDescent="0.25">
      <c r="A25" t="s">
        <v>160</v>
      </c>
      <c r="B25">
        <v>12</v>
      </c>
      <c r="C25">
        <v>11</v>
      </c>
      <c r="E25" s="3">
        <f t="shared" si="0"/>
        <v>-1</v>
      </c>
    </row>
    <row r="26" spans="1:5" x14ac:dyDescent="0.25">
      <c r="A26" t="s">
        <v>173</v>
      </c>
      <c r="B26">
        <v>38</v>
      </c>
      <c r="C26">
        <v>47</v>
      </c>
      <c r="E26" s="3">
        <f t="shared" ref="E26:E30" si="1">C26-B26</f>
        <v>9</v>
      </c>
    </row>
    <row r="27" spans="1:5" x14ac:dyDescent="0.25">
      <c r="A27" t="s">
        <v>174</v>
      </c>
      <c r="B27">
        <v>69</v>
      </c>
      <c r="C27">
        <v>70</v>
      </c>
      <c r="E27" s="3">
        <f t="shared" si="1"/>
        <v>1</v>
      </c>
    </row>
    <row r="28" spans="1:5" x14ac:dyDescent="0.25">
      <c r="A28" t="s">
        <v>175</v>
      </c>
      <c r="B28">
        <v>74</v>
      </c>
      <c r="C28">
        <v>85</v>
      </c>
      <c r="E28" s="3">
        <f t="shared" si="1"/>
        <v>11</v>
      </c>
    </row>
    <row r="29" spans="1:5" x14ac:dyDescent="0.25">
      <c r="A29" t="s">
        <v>187</v>
      </c>
      <c r="B29">
        <v>57</v>
      </c>
      <c r="C29">
        <v>38</v>
      </c>
      <c r="E29" s="3">
        <f t="shared" si="1"/>
        <v>-19</v>
      </c>
    </row>
    <row r="30" spans="1:5" x14ac:dyDescent="0.25">
      <c r="A30" t="s">
        <v>186</v>
      </c>
      <c r="B30">
        <v>49</v>
      </c>
      <c r="C30">
        <v>10</v>
      </c>
      <c r="E30" s="3">
        <f t="shared" si="1"/>
        <v>-39</v>
      </c>
    </row>
    <row r="31" spans="1:5" x14ac:dyDescent="0.25">
      <c r="E31" s="3"/>
    </row>
    <row r="32" spans="1:5" s="25" customFormat="1" x14ac:dyDescent="0.25">
      <c r="A32" s="25" t="s">
        <v>1</v>
      </c>
      <c r="E32" s="27"/>
    </row>
    <row r="33" spans="1:5" x14ac:dyDescent="0.25">
      <c r="A33" t="s">
        <v>3</v>
      </c>
      <c r="B33">
        <v>49</v>
      </c>
      <c r="C33">
        <v>10</v>
      </c>
      <c r="E33" s="3">
        <f t="shared" si="0"/>
        <v>-39</v>
      </c>
    </row>
    <row r="34" spans="1:5" x14ac:dyDescent="0.25">
      <c r="A34" t="s">
        <v>13</v>
      </c>
      <c r="B34">
        <v>31</v>
      </c>
      <c r="C34">
        <v>49</v>
      </c>
      <c r="E34" s="3">
        <f t="shared" si="0"/>
        <v>18</v>
      </c>
    </row>
    <row r="35" spans="1:5" x14ac:dyDescent="0.25">
      <c r="A35" t="s">
        <v>68</v>
      </c>
      <c r="B35">
        <v>52</v>
      </c>
      <c r="C35">
        <v>57</v>
      </c>
      <c r="E35" s="3">
        <f t="shared" si="0"/>
        <v>5</v>
      </c>
    </row>
    <row r="36" spans="1:5" x14ac:dyDescent="0.25">
      <c r="A36" t="s">
        <v>69</v>
      </c>
      <c r="B36">
        <v>64</v>
      </c>
      <c r="C36">
        <v>66</v>
      </c>
      <c r="E36" s="3">
        <f t="shared" si="0"/>
        <v>2</v>
      </c>
    </row>
    <row r="37" spans="1:5" x14ac:dyDescent="0.25">
      <c r="A37" t="s">
        <v>70</v>
      </c>
      <c r="B37">
        <v>55</v>
      </c>
      <c r="C37">
        <v>17</v>
      </c>
      <c r="E37" s="3">
        <f t="shared" si="0"/>
        <v>-38</v>
      </c>
    </row>
    <row r="38" spans="1:5" x14ac:dyDescent="0.25">
      <c r="A38" t="s">
        <v>74</v>
      </c>
      <c r="B38">
        <v>65</v>
      </c>
      <c r="C38">
        <v>47</v>
      </c>
      <c r="E38" s="3">
        <f t="shared" si="0"/>
        <v>-18</v>
      </c>
    </row>
    <row r="39" spans="1:5" x14ac:dyDescent="0.25">
      <c r="A39" t="s">
        <v>79</v>
      </c>
      <c r="B39">
        <v>95</v>
      </c>
      <c r="C39">
        <v>77</v>
      </c>
      <c r="E39" s="3">
        <f t="shared" si="0"/>
        <v>-18</v>
      </c>
    </row>
    <row r="40" spans="1:5" x14ac:dyDescent="0.25">
      <c r="A40" t="s">
        <v>80</v>
      </c>
      <c r="B40">
        <v>26</v>
      </c>
      <c r="C40">
        <v>55</v>
      </c>
      <c r="E40" s="3">
        <f t="shared" si="0"/>
        <v>29</v>
      </c>
    </row>
    <row r="41" spans="1:5" x14ac:dyDescent="0.25">
      <c r="A41" t="s">
        <v>86</v>
      </c>
      <c r="B41">
        <v>62</v>
      </c>
      <c r="C41">
        <v>3</v>
      </c>
      <c r="E41" s="3">
        <f t="shared" si="0"/>
        <v>-59</v>
      </c>
    </row>
    <row r="42" spans="1:5" x14ac:dyDescent="0.25">
      <c r="A42" t="s">
        <v>92</v>
      </c>
      <c r="B42">
        <v>71</v>
      </c>
      <c r="C42">
        <v>13</v>
      </c>
      <c r="E42" s="3">
        <f t="shared" si="0"/>
        <v>-58</v>
      </c>
    </row>
    <row r="43" spans="1:5" x14ac:dyDescent="0.25">
      <c r="A43" t="s">
        <v>93</v>
      </c>
      <c r="B43">
        <v>7</v>
      </c>
      <c r="C43">
        <v>17</v>
      </c>
      <c r="E43" s="3">
        <f t="shared" si="0"/>
        <v>10</v>
      </c>
    </row>
    <row r="44" spans="1:5" x14ac:dyDescent="0.25">
      <c r="A44" t="s">
        <v>110</v>
      </c>
      <c r="B44">
        <v>44</v>
      </c>
      <c r="C44">
        <v>10</v>
      </c>
      <c r="E44" s="3">
        <f t="shared" si="0"/>
        <v>-34</v>
      </c>
    </row>
    <row r="45" spans="1:5" x14ac:dyDescent="0.25">
      <c r="A45" t="s">
        <v>120</v>
      </c>
      <c r="B45">
        <v>33</v>
      </c>
      <c r="C45">
        <v>15</v>
      </c>
      <c r="E45" s="3">
        <f t="shared" si="0"/>
        <v>-18</v>
      </c>
    </row>
    <row r="46" spans="1:5" x14ac:dyDescent="0.25">
      <c r="A46" t="s">
        <v>125</v>
      </c>
      <c r="B46">
        <v>4</v>
      </c>
      <c r="C46">
        <v>0</v>
      </c>
      <c r="E46" s="3">
        <f t="shared" si="0"/>
        <v>-4</v>
      </c>
    </row>
    <row r="47" spans="1:5" x14ac:dyDescent="0.25">
      <c r="A47" t="s">
        <v>130</v>
      </c>
      <c r="B47">
        <v>43</v>
      </c>
      <c r="C47">
        <v>12</v>
      </c>
      <c r="E47" s="3">
        <f t="shared" si="0"/>
        <v>-31</v>
      </c>
    </row>
    <row r="48" spans="1:5" x14ac:dyDescent="0.25">
      <c r="A48" t="s">
        <v>145</v>
      </c>
      <c r="B48">
        <v>56</v>
      </c>
      <c r="C48">
        <v>33</v>
      </c>
      <c r="E48" s="3">
        <f t="shared" si="0"/>
        <v>-23</v>
      </c>
    </row>
    <row r="49" spans="1:5" x14ac:dyDescent="0.25">
      <c r="A49" t="s">
        <v>144</v>
      </c>
      <c r="B49">
        <v>62</v>
      </c>
      <c r="C49">
        <v>58</v>
      </c>
      <c r="E49" s="3">
        <f t="shared" si="0"/>
        <v>-4</v>
      </c>
    </row>
    <row r="50" spans="1:5" x14ac:dyDescent="0.25">
      <c r="A50" t="s">
        <v>132</v>
      </c>
      <c r="B50">
        <v>48</v>
      </c>
      <c r="C50">
        <v>61</v>
      </c>
      <c r="E50" s="3">
        <f t="shared" si="0"/>
        <v>13</v>
      </c>
    </row>
    <row r="51" spans="1:5" x14ac:dyDescent="0.25">
      <c r="A51" t="s">
        <v>146</v>
      </c>
      <c r="B51">
        <v>17</v>
      </c>
      <c r="C51">
        <v>6</v>
      </c>
      <c r="E51" s="3">
        <f t="shared" si="0"/>
        <v>-11</v>
      </c>
    </row>
    <row r="52" spans="1:5" x14ac:dyDescent="0.25">
      <c r="A52" t="s">
        <v>147</v>
      </c>
      <c r="B52">
        <v>18</v>
      </c>
      <c r="C52">
        <v>28</v>
      </c>
      <c r="E52" s="3">
        <f t="shared" si="0"/>
        <v>10</v>
      </c>
    </row>
    <row r="53" spans="1:5" x14ac:dyDescent="0.25">
      <c r="A53" t="s">
        <v>155</v>
      </c>
      <c r="B53">
        <v>20</v>
      </c>
      <c r="C53">
        <v>23</v>
      </c>
      <c r="E53" s="3">
        <f t="shared" si="0"/>
        <v>3</v>
      </c>
    </row>
    <row r="54" spans="1:5" x14ac:dyDescent="0.25">
      <c r="A54" t="s">
        <v>158</v>
      </c>
      <c r="B54">
        <v>6</v>
      </c>
      <c r="C54">
        <v>3</v>
      </c>
      <c r="E54" s="3">
        <f t="shared" si="0"/>
        <v>-3</v>
      </c>
    </row>
    <row r="55" spans="1:5" x14ac:dyDescent="0.25">
      <c r="A55" t="s">
        <v>162</v>
      </c>
      <c r="B55">
        <v>11</v>
      </c>
      <c r="C55">
        <v>29</v>
      </c>
      <c r="E55" s="3">
        <f t="shared" si="0"/>
        <v>18</v>
      </c>
    </row>
    <row r="56" spans="1:5" x14ac:dyDescent="0.25">
      <c r="A56" t="s">
        <v>160</v>
      </c>
      <c r="B56">
        <v>21</v>
      </c>
      <c r="C56">
        <v>27</v>
      </c>
      <c r="E56" s="3">
        <f t="shared" si="0"/>
        <v>6</v>
      </c>
    </row>
    <row r="57" spans="1:5" x14ac:dyDescent="0.25">
      <c r="A57" t="s">
        <v>173</v>
      </c>
      <c r="B57">
        <v>50</v>
      </c>
      <c r="C57">
        <v>22</v>
      </c>
      <c r="E57" s="3">
        <f t="shared" si="0"/>
        <v>-28</v>
      </c>
    </row>
    <row r="58" spans="1:5" x14ac:dyDescent="0.25">
      <c r="A58" t="s">
        <v>174</v>
      </c>
      <c r="B58">
        <v>51</v>
      </c>
      <c r="C58">
        <v>72</v>
      </c>
      <c r="E58" s="3">
        <f t="shared" si="0"/>
        <v>21</v>
      </c>
    </row>
    <row r="59" spans="1:5" x14ac:dyDescent="0.25">
      <c r="A59" t="s">
        <v>175</v>
      </c>
      <c r="B59">
        <v>61</v>
      </c>
      <c r="C59">
        <v>64</v>
      </c>
      <c r="E59" s="3">
        <f t="shared" si="0"/>
        <v>3</v>
      </c>
    </row>
    <row r="60" spans="1:5" x14ac:dyDescent="0.25">
      <c r="A60" t="s">
        <v>187</v>
      </c>
      <c r="B60">
        <v>47</v>
      </c>
      <c r="C60">
        <v>41</v>
      </c>
      <c r="E60" s="3">
        <f t="shared" si="0"/>
        <v>-6</v>
      </c>
    </row>
    <row r="61" spans="1:5" x14ac:dyDescent="0.25">
      <c r="A61" t="s">
        <v>186</v>
      </c>
      <c r="B61">
        <v>4</v>
      </c>
      <c r="C61">
        <v>12</v>
      </c>
      <c r="E61" s="3">
        <f t="shared" ref="E61" si="2">C61-B61</f>
        <v>8</v>
      </c>
    </row>
    <row r="62" spans="1:5" x14ac:dyDescent="0.25">
      <c r="E62" s="3"/>
    </row>
    <row r="63" spans="1:5" x14ac:dyDescent="0.25">
      <c r="D63" s="25"/>
      <c r="E63" s="37"/>
    </row>
    <row r="64" spans="1:5" x14ac:dyDescent="0.25">
      <c r="E64" s="3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  <row r="67" spans="4:6" x14ac:dyDescent="0.25">
      <c r="E67" s="3"/>
    </row>
    <row r="68" spans="4:6" x14ac:dyDescent="0.25">
      <c r="E68" s="3"/>
    </row>
    <row r="69" spans="4:6" x14ac:dyDescent="0.25">
      <c r="E69" s="3"/>
    </row>
    <row r="70" spans="4:6" x14ac:dyDescent="0.25">
      <c r="E70" s="3"/>
    </row>
    <row r="71" spans="4:6" x14ac:dyDescent="0.25">
      <c r="E71" s="3"/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6"/>
  <sheetViews>
    <sheetView zoomScale="55" zoomScaleNormal="55" workbookViewId="0">
      <selection activeCell="K47" sqref="K47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5" x14ac:dyDescent="0.25">
      <c r="A2" t="s">
        <v>3</v>
      </c>
      <c r="B2">
        <v>12</v>
      </c>
      <c r="C2">
        <v>5</v>
      </c>
      <c r="E2" s="3">
        <f>C2-B2</f>
        <v>-7</v>
      </c>
    </row>
    <row r="3" spans="1:5" x14ac:dyDescent="0.25">
      <c r="A3" t="s">
        <v>13</v>
      </c>
      <c r="B3">
        <v>0</v>
      </c>
      <c r="C3">
        <v>0</v>
      </c>
      <c r="E3" s="3">
        <f t="shared" ref="E3:E58" si="0">C3-B3</f>
        <v>0</v>
      </c>
    </row>
    <row r="4" spans="1:5" x14ac:dyDescent="0.25">
      <c r="A4" t="s">
        <v>68</v>
      </c>
      <c r="B4">
        <v>12</v>
      </c>
      <c r="C4">
        <v>22</v>
      </c>
      <c r="E4" s="3">
        <f t="shared" si="0"/>
        <v>10</v>
      </c>
    </row>
    <row r="5" spans="1:5" x14ac:dyDescent="0.25">
      <c r="A5" t="s">
        <v>69</v>
      </c>
      <c r="B5">
        <v>42</v>
      </c>
      <c r="C5">
        <v>43</v>
      </c>
      <c r="E5" s="3">
        <f t="shared" si="0"/>
        <v>1</v>
      </c>
    </row>
    <row r="6" spans="1:5" x14ac:dyDescent="0.25">
      <c r="A6" t="s">
        <v>70</v>
      </c>
      <c r="B6">
        <v>8</v>
      </c>
      <c r="C6">
        <v>3</v>
      </c>
      <c r="E6" s="3">
        <f t="shared" si="0"/>
        <v>-5</v>
      </c>
    </row>
    <row r="7" spans="1:5" x14ac:dyDescent="0.25">
      <c r="A7" t="s">
        <v>74</v>
      </c>
      <c r="B7">
        <v>24</v>
      </c>
      <c r="C7">
        <v>58</v>
      </c>
      <c r="E7" s="3">
        <f t="shared" si="0"/>
        <v>34</v>
      </c>
    </row>
    <row r="8" spans="1:5" x14ac:dyDescent="0.25">
      <c r="A8" t="s">
        <v>79</v>
      </c>
      <c r="B8">
        <v>82</v>
      </c>
      <c r="C8">
        <v>36</v>
      </c>
      <c r="E8" s="3">
        <f t="shared" si="0"/>
        <v>-46</v>
      </c>
    </row>
    <row r="9" spans="1:5" x14ac:dyDescent="0.25">
      <c r="A9" t="s">
        <v>80</v>
      </c>
      <c r="B9">
        <v>70</v>
      </c>
      <c r="C9">
        <v>18</v>
      </c>
      <c r="E9" s="3">
        <f t="shared" si="0"/>
        <v>-52</v>
      </c>
    </row>
    <row r="10" spans="1:5" x14ac:dyDescent="0.25">
      <c r="A10" t="s">
        <v>86</v>
      </c>
      <c r="B10">
        <v>47</v>
      </c>
      <c r="C10">
        <v>5</v>
      </c>
      <c r="E10" s="3">
        <f t="shared" si="0"/>
        <v>-42</v>
      </c>
    </row>
    <row r="11" spans="1:5" x14ac:dyDescent="0.25">
      <c r="A11" t="s">
        <v>92</v>
      </c>
      <c r="B11">
        <v>54</v>
      </c>
      <c r="C11">
        <v>1</v>
      </c>
      <c r="E11" s="3">
        <f t="shared" si="0"/>
        <v>-53</v>
      </c>
    </row>
    <row r="12" spans="1:5" x14ac:dyDescent="0.25">
      <c r="A12" t="s">
        <v>93</v>
      </c>
      <c r="B12">
        <v>32</v>
      </c>
      <c r="C12">
        <v>64</v>
      </c>
      <c r="E12" s="3">
        <f t="shared" si="0"/>
        <v>32</v>
      </c>
    </row>
    <row r="13" spans="1:5" x14ac:dyDescent="0.25">
      <c r="A13" t="s">
        <v>110</v>
      </c>
      <c r="B13">
        <v>22</v>
      </c>
      <c r="C13">
        <v>72</v>
      </c>
      <c r="E13" s="3">
        <f t="shared" si="0"/>
        <v>50</v>
      </c>
    </row>
    <row r="14" spans="1:5" x14ac:dyDescent="0.25">
      <c r="A14" t="s">
        <v>120</v>
      </c>
      <c r="B14">
        <v>10</v>
      </c>
      <c r="C14">
        <v>10</v>
      </c>
      <c r="E14" s="3">
        <f t="shared" si="0"/>
        <v>0</v>
      </c>
    </row>
    <row r="15" spans="1:5" x14ac:dyDescent="0.25">
      <c r="A15" t="s">
        <v>125</v>
      </c>
      <c r="B15">
        <v>49</v>
      </c>
      <c r="C15">
        <v>21</v>
      </c>
      <c r="E15" s="3">
        <f t="shared" si="0"/>
        <v>-28</v>
      </c>
    </row>
    <row r="16" spans="1:5" x14ac:dyDescent="0.25">
      <c r="A16" t="s">
        <v>130</v>
      </c>
      <c r="B16">
        <v>3</v>
      </c>
      <c r="C16">
        <v>25</v>
      </c>
      <c r="E16" s="3">
        <f t="shared" si="0"/>
        <v>22</v>
      </c>
    </row>
    <row r="17" spans="1:5" x14ac:dyDescent="0.25">
      <c r="A17" t="s">
        <v>145</v>
      </c>
      <c r="B17">
        <v>7</v>
      </c>
      <c r="C17">
        <v>39</v>
      </c>
      <c r="E17" s="3">
        <f t="shared" si="0"/>
        <v>32</v>
      </c>
    </row>
    <row r="18" spans="1:5" x14ac:dyDescent="0.25">
      <c r="A18" t="s">
        <v>144</v>
      </c>
      <c r="B18">
        <v>25</v>
      </c>
      <c r="C18">
        <v>36</v>
      </c>
      <c r="E18" s="3">
        <f t="shared" si="0"/>
        <v>11</v>
      </c>
    </row>
    <row r="19" spans="1:5" x14ac:dyDescent="0.25">
      <c r="A19" t="s">
        <v>132</v>
      </c>
      <c r="B19">
        <v>52</v>
      </c>
      <c r="C19">
        <v>52</v>
      </c>
      <c r="E19" s="3">
        <f t="shared" si="0"/>
        <v>0</v>
      </c>
    </row>
    <row r="20" spans="1:5" x14ac:dyDescent="0.25">
      <c r="A20" t="s">
        <v>146</v>
      </c>
      <c r="B20">
        <v>16</v>
      </c>
      <c r="C20">
        <v>9</v>
      </c>
      <c r="E20" s="3">
        <f t="shared" si="0"/>
        <v>-7</v>
      </c>
    </row>
    <row r="21" spans="1:5" x14ac:dyDescent="0.25">
      <c r="A21" t="s">
        <v>147</v>
      </c>
      <c r="B21">
        <v>50</v>
      </c>
      <c r="C21">
        <v>2</v>
      </c>
      <c r="E21" s="3">
        <f t="shared" si="0"/>
        <v>-48</v>
      </c>
    </row>
    <row r="22" spans="1:5" x14ac:dyDescent="0.25">
      <c r="A22" t="s">
        <v>155</v>
      </c>
      <c r="B22">
        <v>24</v>
      </c>
      <c r="C22">
        <v>1</v>
      </c>
      <c r="E22" s="3">
        <f t="shared" si="0"/>
        <v>-23</v>
      </c>
    </row>
    <row r="23" spans="1:5" x14ac:dyDescent="0.25">
      <c r="A23" t="s">
        <v>158</v>
      </c>
      <c r="B23">
        <v>49</v>
      </c>
      <c r="C23">
        <v>58</v>
      </c>
      <c r="E23" s="3">
        <f t="shared" si="0"/>
        <v>9</v>
      </c>
    </row>
    <row r="24" spans="1:5" x14ac:dyDescent="0.25">
      <c r="A24" t="s">
        <v>162</v>
      </c>
      <c r="B24">
        <v>37</v>
      </c>
      <c r="C24">
        <v>13</v>
      </c>
      <c r="E24" s="3">
        <f t="shared" si="0"/>
        <v>-24</v>
      </c>
    </row>
    <row r="25" spans="1:5" x14ac:dyDescent="0.25">
      <c r="A25" t="s">
        <v>160</v>
      </c>
      <c r="B25">
        <v>33</v>
      </c>
      <c r="C25">
        <v>11</v>
      </c>
      <c r="E25" s="3">
        <f t="shared" si="0"/>
        <v>-22</v>
      </c>
    </row>
    <row r="26" spans="1:5" x14ac:dyDescent="0.25">
      <c r="A26" t="s">
        <v>173</v>
      </c>
      <c r="B26">
        <v>37</v>
      </c>
      <c r="C26">
        <v>49</v>
      </c>
      <c r="E26" s="3">
        <f t="shared" ref="E26:E30" si="1">C26-B26</f>
        <v>12</v>
      </c>
    </row>
    <row r="27" spans="1:5" x14ac:dyDescent="0.25">
      <c r="A27" t="s">
        <v>174</v>
      </c>
      <c r="B27">
        <v>37</v>
      </c>
      <c r="C27">
        <v>5</v>
      </c>
      <c r="E27" s="3">
        <f t="shared" si="1"/>
        <v>-32</v>
      </c>
    </row>
    <row r="28" spans="1:5" x14ac:dyDescent="0.25">
      <c r="A28" t="s">
        <v>175</v>
      </c>
      <c r="B28">
        <v>64</v>
      </c>
      <c r="C28">
        <v>48</v>
      </c>
      <c r="E28" s="3">
        <f t="shared" si="1"/>
        <v>-16</v>
      </c>
    </row>
    <row r="29" spans="1:5" x14ac:dyDescent="0.25">
      <c r="A29" t="s">
        <v>187</v>
      </c>
      <c r="B29">
        <v>61</v>
      </c>
      <c r="C29">
        <v>23</v>
      </c>
      <c r="E29" s="3">
        <f t="shared" si="1"/>
        <v>-38</v>
      </c>
    </row>
    <row r="30" spans="1:5" x14ac:dyDescent="0.25">
      <c r="A30" t="s">
        <v>186</v>
      </c>
      <c r="B30">
        <v>48</v>
      </c>
      <c r="C30">
        <v>10</v>
      </c>
      <c r="E30" s="3">
        <f t="shared" si="1"/>
        <v>-38</v>
      </c>
    </row>
    <row r="31" spans="1:5" x14ac:dyDescent="0.25">
      <c r="E31" s="3"/>
    </row>
    <row r="32" spans="1:5" s="25" customFormat="1" x14ac:dyDescent="0.25">
      <c r="A32" s="25" t="s">
        <v>1</v>
      </c>
      <c r="E32" s="27"/>
    </row>
    <row r="33" spans="1:5" x14ac:dyDescent="0.25">
      <c r="A33" t="s">
        <v>3</v>
      </c>
      <c r="B33">
        <v>14</v>
      </c>
      <c r="C33">
        <v>10</v>
      </c>
      <c r="E33" s="3">
        <f t="shared" si="0"/>
        <v>-4</v>
      </c>
    </row>
    <row r="34" spans="1:5" x14ac:dyDescent="0.25">
      <c r="A34" t="s">
        <v>13</v>
      </c>
      <c r="B34">
        <v>5</v>
      </c>
      <c r="C34">
        <v>0</v>
      </c>
      <c r="E34" s="3">
        <f t="shared" si="0"/>
        <v>-5</v>
      </c>
    </row>
    <row r="35" spans="1:5" x14ac:dyDescent="0.25">
      <c r="A35" t="s">
        <v>68</v>
      </c>
      <c r="B35">
        <v>25</v>
      </c>
      <c r="C35">
        <v>13</v>
      </c>
      <c r="E35" s="3">
        <f t="shared" si="0"/>
        <v>-12</v>
      </c>
    </row>
    <row r="36" spans="1:5" x14ac:dyDescent="0.25">
      <c r="A36" t="s">
        <v>69</v>
      </c>
      <c r="B36">
        <v>60</v>
      </c>
      <c r="C36">
        <v>18</v>
      </c>
      <c r="E36" s="3">
        <f t="shared" si="0"/>
        <v>-42</v>
      </c>
    </row>
    <row r="37" spans="1:5" x14ac:dyDescent="0.25">
      <c r="A37" t="s">
        <v>70</v>
      </c>
      <c r="B37">
        <v>32</v>
      </c>
      <c r="C37">
        <v>56</v>
      </c>
      <c r="E37" s="3">
        <f t="shared" si="0"/>
        <v>24</v>
      </c>
    </row>
    <row r="38" spans="1:5" x14ac:dyDescent="0.25">
      <c r="A38" t="s">
        <v>74</v>
      </c>
      <c r="B38">
        <v>71</v>
      </c>
      <c r="C38">
        <v>53</v>
      </c>
      <c r="E38" s="3">
        <f t="shared" si="0"/>
        <v>-18</v>
      </c>
    </row>
    <row r="39" spans="1:5" x14ac:dyDescent="0.25">
      <c r="A39" t="s">
        <v>79</v>
      </c>
      <c r="B39">
        <v>75</v>
      </c>
      <c r="C39">
        <v>21</v>
      </c>
      <c r="E39" s="3">
        <f t="shared" si="0"/>
        <v>-54</v>
      </c>
    </row>
    <row r="40" spans="1:5" x14ac:dyDescent="0.25">
      <c r="A40" t="s">
        <v>80</v>
      </c>
      <c r="B40">
        <v>53</v>
      </c>
      <c r="C40">
        <v>65</v>
      </c>
      <c r="E40" s="3">
        <f t="shared" si="0"/>
        <v>12</v>
      </c>
    </row>
    <row r="41" spans="1:5" x14ac:dyDescent="0.25">
      <c r="A41" t="s">
        <v>86</v>
      </c>
      <c r="B41">
        <v>6</v>
      </c>
      <c r="C41">
        <v>4</v>
      </c>
      <c r="E41" s="3">
        <f t="shared" si="0"/>
        <v>-2</v>
      </c>
    </row>
    <row r="42" spans="1:5" x14ac:dyDescent="0.25">
      <c r="A42" t="s">
        <v>92</v>
      </c>
      <c r="B42">
        <v>60</v>
      </c>
      <c r="C42">
        <v>31</v>
      </c>
      <c r="E42" s="3">
        <f t="shared" si="0"/>
        <v>-29</v>
      </c>
    </row>
    <row r="43" spans="1:5" x14ac:dyDescent="0.25">
      <c r="A43" t="s">
        <v>93</v>
      </c>
      <c r="B43">
        <v>52</v>
      </c>
      <c r="C43">
        <v>22</v>
      </c>
      <c r="E43" s="3">
        <f t="shared" si="0"/>
        <v>-30</v>
      </c>
    </row>
    <row r="44" spans="1:5" x14ac:dyDescent="0.25">
      <c r="A44" t="s">
        <v>110</v>
      </c>
      <c r="B44">
        <v>97</v>
      </c>
      <c r="C44">
        <v>73</v>
      </c>
      <c r="E44" s="3">
        <f t="shared" si="0"/>
        <v>-24</v>
      </c>
    </row>
    <row r="45" spans="1:5" x14ac:dyDescent="0.25">
      <c r="A45" t="s">
        <v>120</v>
      </c>
      <c r="B45">
        <v>15</v>
      </c>
      <c r="C45">
        <v>10</v>
      </c>
      <c r="E45" s="3">
        <f t="shared" si="0"/>
        <v>-5</v>
      </c>
    </row>
    <row r="46" spans="1:5" x14ac:dyDescent="0.25">
      <c r="A46" t="s">
        <v>125</v>
      </c>
      <c r="B46">
        <v>61</v>
      </c>
      <c r="C46">
        <v>44</v>
      </c>
      <c r="E46" s="3">
        <f t="shared" si="0"/>
        <v>-17</v>
      </c>
    </row>
    <row r="47" spans="1:5" x14ac:dyDescent="0.25">
      <c r="A47" t="s">
        <v>130</v>
      </c>
      <c r="B47">
        <v>36</v>
      </c>
      <c r="C47">
        <v>12</v>
      </c>
      <c r="E47" s="3">
        <f t="shared" si="0"/>
        <v>-24</v>
      </c>
    </row>
    <row r="48" spans="1:5" x14ac:dyDescent="0.25">
      <c r="A48" t="s">
        <v>145</v>
      </c>
      <c r="B48">
        <v>34</v>
      </c>
      <c r="C48">
        <v>6</v>
      </c>
      <c r="E48" s="3">
        <f t="shared" si="0"/>
        <v>-28</v>
      </c>
    </row>
    <row r="49" spans="1:5" x14ac:dyDescent="0.25">
      <c r="A49" t="s">
        <v>144</v>
      </c>
      <c r="B49">
        <v>26</v>
      </c>
      <c r="C49">
        <v>55</v>
      </c>
      <c r="E49" s="3">
        <f t="shared" si="0"/>
        <v>29</v>
      </c>
    </row>
    <row r="50" spans="1:5" x14ac:dyDescent="0.25">
      <c r="A50" t="s">
        <v>132</v>
      </c>
      <c r="B50">
        <v>47</v>
      </c>
      <c r="C50">
        <v>24</v>
      </c>
      <c r="E50" s="3">
        <f t="shared" si="0"/>
        <v>-23</v>
      </c>
    </row>
    <row r="51" spans="1:5" x14ac:dyDescent="0.25">
      <c r="A51" t="s">
        <v>146</v>
      </c>
      <c r="B51">
        <v>9</v>
      </c>
      <c r="C51">
        <v>6</v>
      </c>
      <c r="E51" s="3">
        <f t="shared" si="0"/>
        <v>-3</v>
      </c>
    </row>
    <row r="52" spans="1:5" x14ac:dyDescent="0.25">
      <c r="A52" t="s">
        <v>147</v>
      </c>
      <c r="B52">
        <v>2</v>
      </c>
      <c r="C52">
        <v>22</v>
      </c>
      <c r="E52" s="3">
        <f t="shared" si="0"/>
        <v>20</v>
      </c>
    </row>
    <row r="53" spans="1:5" x14ac:dyDescent="0.25">
      <c r="A53" t="s">
        <v>155</v>
      </c>
      <c r="B53">
        <v>74</v>
      </c>
      <c r="C53">
        <v>0</v>
      </c>
      <c r="E53" s="3">
        <f t="shared" si="0"/>
        <v>-74</v>
      </c>
    </row>
    <row r="54" spans="1:5" x14ac:dyDescent="0.25">
      <c r="A54" t="s">
        <v>158</v>
      </c>
      <c r="B54">
        <v>47</v>
      </c>
      <c r="C54">
        <v>83</v>
      </c>
      <c r="E54" s="3">
        <f t="shared" si="0"/>
        <v>36</v>
      </c>
    </row>
    <row r="55" spans="1:5" x14ac:dyDescent="0.25">
      <c r="A55" t="s">
        <v>162</v>
      </c>
      <c r="B55">
        <v>12</v>
      </c>
      <c r="C55">
        <v>18</v>
      </c>
      <c r="E55" s="3">
        <f t="shared" si="0"/>
        <v>6</v>
      </c>
    </row>
    <row r="56" spans="1:5" x14ac:dyDescent="0.25">
      <c r="A56" t="s">
        <v>160</v>
      </c>
      <c r="B56">
        <v>22</v>
      </c>
      <c r="C56">
        <v>8</v>
      </c>
      <c r="E56" s="3">
        <f t="shared" si="0"/>
        <v>-14</v>
      </c>
    </row>
    <row r="57" spans="1:5" x14ac:dyDescent="0.25">
      <c r="A57" t="s">
        <v>173</v>
      </c>
      <c r="B57">
        <v>51</v>
      </c>
      <c r="C57">
        <v>33</v>
      </c>
      <c r="E57" s="3">
        <f t="shared" si="0"/>
        <v>-18</v>
      </c>
    </row>
    <row r="58" spans="1:5" x14ac:dyDescent="0.25">
      <c r="A58" t="s">
        <v>174</v>
      </c>
      <c r="B58">
        <v>49</v>
      </c>
      <c r="C58">
        <v>29</v>
      </c>
      <c r="E58" s="3">
        <f t="shared" si="0"/>
        <v>-20</v>
      </c>
    </row>
    <row r="59" spans="1:5" x14ac:dyDescent="0.25">
      <c r="A59" t="s">
        <v>175</v>
      </c>
      <c r="B59">
        <v>51</v>
      </c>
      <c r="C59">
        <v>65</v>
      </c>
      <c r="E59" s="3">
        <f t="shared" ref="E59:E61" si="2">C59-B59</f>
        <v>14</v>
      </c>
    </row>
    <row r="60" spans="1:5" x14ac:dyDescent="0.25">
      <c r="A60" t="s">
        <v>187</v>
      </c>
      <c r="B60">
        <v>33</v>
      </c>
      <c r="C60">
        <v>48</v>
      </c>
      <c r="E60" s="3">
        <f t="shared" si="2"/>
        <v>15</v>
      </c>
    </row>
    <row r="61" spans="1:5" x14ac:dyDescent="0.25">
      <c r="A61" t="s">
        <v>186</v>
      </c>
      <c r="B61">
        <v>22</v>
      </c>
      <c r="C61">
        <v>14</v>
      </c>
      <c r="E61" s="3">
        <f t="shared" si="2"/>
        <v>-8</v>
      </c>
    </row>
    <row r="62" spans="1:5" x14ac:dyDescent="0.25">
      <c r="E62" s="3"/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workbookViewId="0">
      <selection activeCell="I24" sqref="I24"/>
    </sheetView>
  </sheetViews>
  <sheetFormatPr defaultRowHeight="15" x14ac:dyDescent="0.25"/>
  <sheetData>
    <row r="1" spans="1:7" s="25" customFormat="1" x14ac:dyDescent="0.25">
      <c r="A1" s="25" t="s">
        <v>270</v>
      </c>
      <c r="B1" s="25" t="s">
        <v>5</v>
      </c>
      <c r="C1" s="25" t="s">
        <v>10</v>
      </c>
      <c r="D1" s="25" t="s">
        <v>6</v>
      </c>
      <c r="E1" s="25" t="s">
        <v>64</v>
      </c>
      <c r="F1" s="25" t="s">
        <v>8</v>
      </c>
      <c r="G1" s="25" t="s">
        <v>67</v>
      </c>
    </row>
    <row r="2" spans="1:7" s="4" customFormat="1" x14ac:dyDescent="0.25">
      <c r="A2" s="4" t="s">
        <v>3</v>
      </c>
      <c r="B2" s="4" t="s">
        <v>7</v>
      </c>
      <c r="C2" s="4">
        <v>26</v>
      </c>
      <c r="D2" s="35">
        <v>193.6</v>
      </c>
      <c r="E2" s="4" t="s">
        <v>65</v>
      </c>
      <c r="F2" s="4" t="s">
        <v>9</v>
      </c>
    </row>
    <row r="3" spans="1:7" x14ac:dyDescent="0.25">
      <c r="A3" t="s">
        <v>13</v>
      </c>
      <c r="B3" t="s">
        <v>11</v>
      </c>
      <c r="C3">
        <v>23</v>
      </c>
      <c r="D3" s="3">
        <v>181.3</v>
      </c>
      <c r="E3" t="s">
        <v>66</v>
      </c>
      <c r="F3" t="s">
        <v>12</v>
      </c>
    </row>
    <row r="4" spans="1:7" x14ac:dyDescent="0.25">
      <c r="A4" t="s">
        <v>68</v>
      </c>
      <c r="B4" t="s">
        <v>11</v>
      </c>
      <c r="C4">
        <v>30</v>
      </c>
      <c r="D4" s="3">
        <v>171.6</v>
      </c>
      <c r="E4" t="s">
        <v>71</v>
      </c>
      <c r="F4" t="s">
        <v>9</v>
      </c>
    </row>
    <row r="5" spans="1:7" s="4" customFormat="1" x14ac:dyDescent="0.25">
      <c r="A5" s="4" t="s">
        <v>69</v>
      </c>
      <c r="B5" s="4" t="s">
        <v>7</v>
      </c>
      <c r="C5" s="4">
        <v>41</v>
      </c>
      <c r="D5" s="35">
        <v>177.3</v>
      </c>
      <c r="E5" s="4" t="s">
        <v>81</v>
      </c>
      <c r="F5" s="4" t="s">
        <v>9</v>
      </c>
    </row>
    <row r="6" spans="1:7" x14ac:dyDescent="0.25">
      <c r="A6" t="s">
        <v>70</v>
      </c>
      <c r="B6" t="s">
        <v>11</v>
      </c>
      <c r="C6">
        <v>47</v>
      </c>
      <c r="D6" s="3">
        <v>175.6</v>
      </c>
      <c r="E6" t="s">
        <v>81</v>
      </c>
      <c r="F6" t="s">
        <v>12</v>
      </c>
    </row>
    <row r="7" spans="1:7" x14ac:dyDescent="0.25">
      <c r="A7" t="s">
        <v>74</v>
      </c>
      <c r="B7" t="s">
        <v>11</v>
      </c>
      <c r="C7">
        <v>30</v>
      </c>
      <c r="D7" s="3">
        <v>157.1</v>
      </c>
      <c r="E7" t="s">
        <v>75</v>
      </c>
      <c r="F7" t="s">
        <v>9</v>
      </c>
    </row>
    <row r="8" spans="1:7" x14ac:dyDescent="0.25">
      <c r="A8" t="s">
        <v>79</v>
      </c>
      <c r="B8" t="s">
        <v>11</v>
      </c>
      <c r="C8">
        <v>25</v>
      </c>
      <c r="D8" s="3">
        <v>157.69999999999999</v>
      </c>
      <c r="E8" t="s">
        <v>109</v>
      </c>
      <c r="F8" t="s">
        <v>9</v>
      </c>
    </row>
    <row r="9" spans="1:7" s="4" customFormat="1" x14ac:dyDescent="0.25">
      <c r="A9" s="4" t="s">
        <v>80</v>
      </c>
      <c r="B9" s="4" t="s">
        <v>7</v>
      </c>
      <c r="C9" s="4">
        <v>24</v>
      </c>
      <c r="D9" s="35">
        <v>176.7</v>
      </c>
      <c r="E9" s="4" t="s">
        <v>81</v>
      </c>
      <c r="F9" s="4" t="s">
        <v>12</v>
      </c>
    </row>
    <row r="10" spans="1:7" x14ac:dyDescent="0.25">
      <c r="A10" t="s">
        <v>86</v>
      </c>
      <c r="B10" t="s">
        <v>11</v>
      </c>
      <c r="C10">
        <v>23</v>
      </c>
      <c r="D10" s="3">
        <v>166.4</v>
      </c>
      <c r="E10" t="s">
        <v>81</v>
      </c>
      <c r="F10" t="s">
        <v>9</v>
      </c>
    </row>
    <row r="11" spans="1:7" x14ac:dyDescent="0.25">
      <c r="A11" t="s">
        <v>92</v>
      </c>
      <c r="B11" t="s">
        <v>11</v>
      </c>
      <c r="C11">
        <v>23</v>
      </c>
      <c r="D11" s="3">
        <v>162</v>
      </c>
      <c r="E11" t="s">
        <v>81</v>
      </c>
      <c r="F11" t="s">
        <v>12</v>
      </c>
    </row>
    <row r="12" spans="1:7" x14ac:dyDescent="0.25">
      <c r="A12" t="s">
        <v>93</v>
      </c>
      <c r="B12" t="s">
        <v>11</v>
      </c>
      <c r="C12">
        <v>23</v>
      </c>
      <c r="D12" s="3">
        <v>163.19999999999999</v>
      </c>
      <c r="E12" t="s">
        <v>81</v>
      </c>
      <c r="F12" t="s">
        <v>9</v>
      </c>
      <c r="G12" t="s">
        <v>123</v>
      </c>
    </row>
    <row r="13" spans="1:7" s="4" customFormat="1" x14ac:dyDescent="0.25">
      <c r="A13" s="4" t="s">
        <v>110</v>
      </c>
      <c r="B13" s="4" t="s">
        <v>7</v>
      </c>
      <c r="C13" s="4">
        <v>51</v>
      </c>
      <c r="D13" s="35">
        <v>183.1</v>
      </c>
      <c r="E13" s="4" t="s">
        <v>109</v>
      </c>
      <c r="F13" s="4" t="s">
        <v>9</v>
      </c>
    </row>
    <row r="14" spans="1:7" x14ac:dyDescent="0.25">
      <c r="A14" t="s">
        <v>120</v>
      </c>
      <c r="B14" t="s">
        <v>11</v>
      </c>
      <c r="C14">
        <v>25</v>
      </c>
      <c r="D14" s="3">
        <v>182.5</v>
      </c>
      <c r="E14" t="s">
        <v>109</v>
      </c>
      <c r="F14" t="s">
        <v>9</v>
      </c>
    </row>
    <row r="15" spans="1:7" x14ac:dyDescent="0.25">
      <c r="A15" t="s">
        <v>125</v>
      </c>
      <c r="B15" t="s">
        <v>11</v>
      </c>
      <c r="C15">
        <v>28</v>
      </c>
      <c r="D15" s="3">
        <v>151.19999999999999</v>
      </c>
      <c r="E15" t="s">
        <v>109</v>
      </c>
      <c r="F15" t="s">
        <v>9</v>
      </c>
    </row>
    <row r="16" spans="1:7" x14ac:dyDescent="0.25">
      <c r="A16" t="s">
        <v>130</v>
      </c>
      <c r="B16" t="s">
        <v>11</v>
      </c>
      <c r="C16">
        <v>50</v>
      </c>
      <c r="D16" s="3">
        <v>163</v>
      </c>
      <c r="E16" t="s">
        <v>109</v>
      </c>
      <c r="F16" t="s">
        <v>9</v>
      </c>
    </row>
    <row r="17" spans="1:6" x14ac:dyDescent="0.25">
      <c r="A17" t="s">
        <v>145</v>
      </c>
      <c r="B17" t="s">
        <v>11</v>
      </c>
      <c r="C17">
        <v>28</v>
      </c>
      <c r="D17" s="3">
        <v>171.3</v>
      </c>
      <c r="E17" t="s">
        <v>133</v>
      </c>
      <c r="F17" t="s">
        <v>9</v>
      </c>
    </row>
    <row r="18" spans="1:6" x14ac:dyDescent="0.25">
      <c r="A18" t="s">
        <v>144</v>
      </c>
      <c r="B18" t="s">
        <v>11</v>
      </c>
      <c r="C18">
        <v>31</v>
      </c>
      <c r="D18" s="3">
        <v>175.4</v>
      </c>
      <c r="E18" t="s">
        <v>133</v>
      </c>
      <c r="F18" t="s">
        <v>12</v>
      </c>
    </row>
    <row r="19" spans="1:6" x14ac:dyDescent="0.25">
      <c r="A19" t="s">
        <v>132</v>
      </c>
      <c r="B19" t="s">
        <v>11</v>
      </c>
      <c r="C19">
        <v>21</v>
      </c>
      <c r="D19" s="3">
        <v>164.1</v>
      </c>
      <c r="E19" t="s">
        <v>133</v>
      </c>
      <c r="F19" t="s">
        <v>12</v>
      </c>
    </row>
    <row r="20" spans="1:6" s="4" customFormat="1" x14ac:dyDescent="0.25">
      <c r="A20" s="4" t="s">
        <v>146</v>
      </c>
      <c r="B20" s="4" t="s">
        <v>7</v>
      </c>
      <c r="C20" s="4">
        <v>46</v>
      </c>
      <c r="D20" s="35">
        <v>179.8</v>
      </c>
      <c r="E20" s="4" t="s">
        <v>133</v>
      </c>
      <c r="F20" s="4" t="s">
        <v>9</v>
      </c>
    </row>
    <row r="21" spans="1:6" x14ac:dyDescent="0.25">
      <c r="A21" t="s">
        <v>147</v>
      </c>
      <c r="B21" t="s">
        <v>11</v>
      </c>
      <c r="C21">
        <v>25</v>
      </c>
      <c r="D21" s="3">
        <v>165.1</v>
      </c>
      <c r="E21" t="s">
        <v>133</v>
      </c>
      <c r="F21" t="s">
        <v>12</v>
      </c>
    </row>
    <row r="22" spans="1:6" x14ac:dyDescent="0.25">
      <c r="A22" t="s">
        <v>155</v>
      </c>
      <c r="B22" t="s">
        <v>11</v>
      </c>
      <c r="C22">
        <v>22</v>
      </c>
      <c r="D22" s="3">
        <v>167.5</v>
      </c>
      <c r="E22" t="s">
        <v>133</v>
      </c>
      <c r="F22" t="s">
        <v>9</v>
      </c>
    </row>
    <row r="23" spans="1:6" x14ac:dyDescent="0.25">
      <c r="A23" t="s">
        <v>158</v>
      </c>
      <c r="B23" t="s">
        <v>11</v>
      </c>
      <c r="C23">
        <v>53</v>
      </c>
      <c r="D23" s="3">
        <v>173.4</v>
      </c>
      <c r="E23" t="s">
        <v>133</v>
      </c>
      <c r="F23" t="s">
        <v>12</v>
      </c>
    </row>
    <row r="24" spans="1:6" x14ac:dyDescent="0.25">
      <c r="A24" t="s">
        <v>162</v>
      </c>
      <c r="B24" t="s">
        <v>11</v>
      </c>
      <c r="C24">
        <v>49</v>
      </c>
      <c r="D24" s="3">
        <v>160.80000000000001</v>
      </c>
      <c r="E24" t="s">
        <v>75</v>
      </c>
      <c r="F24" t="s">
        <v>12</v>
      </c>
    </row>
    <row r="25" spans="1:6" s="4" customFormat="1" x14ac:dyDescent="0.25">
      <c r="A25" s="4" t="s">
        <v>160</v>
      </c>
      <c r="B25" s="4" t="s">
        <v>7</v>
      </c>
      <c r="C25" s="4">
        <v>38</v>
      </c>
      <c r="D25" s="35">
        <v>181.3</v>
      </c>
      <c r="E25" s="4" t="s">
        <v>75</v>
      </c>
      <c r="F25" s="4" t="s">
        <v>9</v>
      </c>
    </row>
    <row r="26" spans="1:6" x14ac:dyDescent="0.25">
      <c r="A26" t="s">
        <v>173</v>
      </c>
      <c r="B26" t="s">
        <v>11</v>
      </c>
      <c r="C26">
        <v>31</v>
      </c>
      <c r="D26" s="3">
        <v>160.1</v>
      </c>
      <c r="E26" t="s">
        <v>75</v>
      </c>
      <c r="F26" t="s">
        <v>9</v>
      </c>
    </row>
    <row r="27" spans="1:6" s="4" customFormat="1" x14ac:dyDescent="0.25">
      <c r="A27" s="4" t="s">
        <v>174</v>
      </c>
      <c r="B27" s="4" t="s">
        <v>7</v>
      </c>
      <c r="C27" s="4">
        <v>30</v>
      </c>
      <c r="D27" s="35">
        <v>183.6</v>
      </c>
      <c r="E27" s="4" t="s">
        <v>75</v>
      </c>
      <c r="F27" s="4" t="s">
        <v>12</v>
      </c>
    </row>
    <row r="28" spans="1:6" x14ac:dyDescent="0.25">
      <c r="A28" t="s">
        <v>175</v>
      </c>
      <c r="B28" t="s">
        <v>11</v>
      </c>
      <c r="C28">
        <v>27</v>
      </c>
      <c r="D28" s="3">
        <v>169</v>
      </c>
      <c r="E28" t="s">
        <v>75</v>
      </c>
      <c r="F28" t="s">
        <v>12</v>
      </c>
    </row>
    <row r="29" spans="1:6" x14ac:dyDescent="0.25">
      <c r="A29" t="s">
        <v>187</v>
      </c>
      <c r="B29" t="s">
        <v>11</v>
      </c>
      <c r="C29">
        <v>45</v>
      </c>
      <c r="D29" s="3">
        <v>155</v>
      </c>
      <c r="E29" t="s">
        <v>75</v>
      </c>
      <c r="F29" t="s">
        <v>12</v>
      </c>
    </row>
    <row r="30" spans="1:6" x14ac:dyDescent="0.25">
      <c r="A30" t="s">
        <v>186</v>
      </c>
      <c r="B30" t="s">
        <v>11</v>
      </c>
      <c r="C30">
        <v>31</v>
      </c>
      <c r="D30" s="3">
        <v>169.6</v>
      </c>
      <c r="E30" t="s">
        <v>75</v>
      </c>
      <c r="F30" t="s">
        <v>9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40"/>
  <sheetViews>
    <sheetView zoomScale="55" zoomScaleNormal="55" workbookViewId="0">
      <selection activeCell="K36" sqref="K36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5" x14ac:dyDescent="0.25">
      <c r="A2" t="s">
        <v>3</v>
      </c>
      <c r="B2">
        <v>33</v>
      </c>
      <c r="C2">
        <v>52</v>
      </c>
      <c r="E2" s="3">
        <f>C2-B2</f>
        <v>19</v>
      </c>
    </row>
    <row r="3" spans="1:5" x14ac:dyDescent="0.25">
      <c r="A3" t="s">
        <v>13</v>
      </c>
      <c r="B3">
        <v>0</v>
      </c>
      <c r="C3">
        <v>0</v>
      </c>
      <c r="E3" s="3">
        <f t="shared" ref="E3:E60" si="0">C3-B3</f>
        <v>0</v>
      </c>
    </row>
    <row r="4" spans="1:5" x14ac:dyDescent="0.25">
      <c r="A4" t="s">
        <v>68</v>
      </c>
      <c r="B4">
        <v>42</v>
      </c>
      <c r="C4">
        <v>76</v>
      </c>
      <c r="E4" s="3">
        <f t="shared" si="0"/>
        <v>34</v>
      </c>
    </row>
    <row r="5" spans="1:5" x14ac:dyDescent="0.25">
      <c r="A5" t="s">
        <v>69</v>
      </c>
      <c r="B5">
        <v>46</v>
      </c>
      <c r="C5">
        <v>56</v>
      </c>
      <c r="E5" s="3">
        <f t="shared" si="0"/>
        <v>10</v>
      </c>
    </row>
    <row r="6" spans="1:5" x14ac:dyDescent="0.25">
      <c r="A6" t="s">
        <v>70</v>
      </c>
      <c r="B6">
        <v>79</v>
      </c>
      <c r="C6">
        <v>82</v>
      </c>
      <c r="E6" s="3">
        <f t="shared" si="0"/>
        <v>3</v>
      </c>
    </row>
    <row r="7" spans="1:5" x14ac:dyDescent="0.25">
      <c r="A7" t="s">
        <v>74</v>
      </c>
      <c r="B7">
        <v>33</v>
      </c>
      <c r="C7">
        <v>55</v>
      </c>
      <c r="E7" s="3">
        <f t="shared" si="0"/>
        <v>22</v>
      </c>
    </row>
    <row r="8" spans="1:5" x14ac:dyDescent="0.25">
      <c r="A8" t="s">
        <v>79</v>
      </c>
      <c r="B8">
        <v>81</v>
      </c>
      <c r="C8">
        <v>98</v>
      </c>
      <c r="E8" s="3">
        <f t="shared" si="0"/>
        <v>17</v>
      </c>
    </row>
    <row r="9" spans="1:5" x14ac:dyDescent="0.25">
      <c r="A9" t="s">
        <v>80</v>
      </c>
      <c r="B9">
        <v>57</v>
      </c>
      <c r="C9">
        <v>38</v>
      </c>
      <c r="E9" s="3">
        <f t="shared" si="0"/>
        <v>-19</v>
      </c>
    </row>
    <row r="10" spans="1:5" x14ac:dyDescent="0.25">
      <c r="A10" t="s">
        <v>86</v>
      </c>
      <c r="B10">
        <v>59</v>
      </c>
      <c r="C10">
        <v>28</v>
      </c>
      <c r="E10" s="3">
        <f t="shared" si="0"/>
        <v>-31</v>
      </c>
    </row>
    <row r="11" spans="1:5" x14ac:dyDescent="0.25">
      <c r="A11" t="s">
        <v>92</v>
      </c>
      <c r="B11">
        <v>30</v>
      </c>
      <c r="C11">
        <v>1</v>
      </c>
      <c r="E11" s="3">
        <f t="shared" si="0"/>
        <v>-29</v>
      </c>
    </row>
    <row r="12" spans="1:5" x14ac:dyDescent="0.25">
      <c r="A12" t="s">
        <v>93</v>
      </c>
      <c r="B12">
        <v>71</v>
      </c>
      <c r="C12">
        <v>87</v>
      </c>
      <c r="E12" s="3">
        <f t="shared" si="0"/>
        <v>16</v>
      </c>
    </row>
    <row r="13" spans="1:5" x14ac:dyDescent="0.25">
      <c r="A13" t="s">
        <v>110</v>
      </c>
      <c r="B13">
        <v>97</v>
      </c>
      <c r="C13">
        <v>97</v>
      </c>
      <c r="E13" s="3">
        <f t="shared" si="0"/>
        <v>0</v>
      </c>
    </row>
    <row r="14" spans="1:5" x14ac:dyDescent="0.25">
      <c r="A14" t="s">
        <v>120</v>
      </c>
      <c r="B14">
        <v>42</v>
      </c>
      <c r="C14">
        <v>29</v>
      </c>
      <c r="E14" s="3">
        <f t="shared" si="0"/>
        <v>-13</v>
      </c>
    </row>
    <row r="15" spans="1:5" x14ac:dyDescent="0.25">
      <c r="A15" t="s">
        <v>125</v>
      </c>
      <c r="B15">
        <v>75</v>
      </c>
      <c r="C15">
        <v>31</v>
      </c>
      <c r="E15" s="3">
        <f t="shared" si="0"/>
        <v>-44</v>
      </c>
    </row>
    <row r="16" spans="1:5" x14ac:dyDescent="0.25">
      <c r="A16" t="s">
        <v>130</v>
      </c>
      <c r="B16">
        <v>5</v>
      </c>
      <c r="C16">
        <v>25</v>
      </c>
      <c r="E16" s="3">
        <f t="shared" si="0"/>
        <v>20</v>
      </c>
    </row>
    <row r="17" spans="1:5" x14ac:dyDescent="0.25">
      <c r="A17" t="s">
        <v>145</v>
      </c>
      <c r="B17">
        <v>86</v>
      </c>
      <c r="C17">
        <v>64</v>
      </c>
      <c r="E17" s="3">
        <f t="shared" si="0"/>
        <v>-22</v>
      </c>
    </row>
    <row r="18" spans="1:5" x14ac:dyDescent="0.25">
      <c r="A18" t="s">
        <v>144</v>
      </c>
      <c r="B18">
        <v>35</v>
      </c>
      <c r="C18">
        <v>26</v>
      </c>
      <c r="E18" s="3">
        <f t="shared" si="0"/>
        <v>-9</v>
      </c>
    </row>
    <row r="19" spans="1:5" x14ac:dyDescent="0.25">
      <c r="A19" t="s">
        <v>132</v>
      </c>
      <c r="B19">
        <v>55</v>
      </c>
      <c r="C19">
        <v>65</v>
      </c>
      <c r="E19" s="3">
        <f t="shared" si="0"/>
        <v>10</v>
      </c>
    </row>
    <row r="20" spans="1:5" x14ac:dyDescent="0.25">
      <c r="A20" t="s">
        <v>146</v>
      </c>
      <c r="B20">
        <v>15</v>
      </c>
      <c r="C20">
        <v>7</v>
      </c>
      <c r="E20" s="3">
        <f t="shared" si="0"/>
        <v>-8</v>
      </c>
    </row>
    <row r="21" spans="1:5" x14ac:dyDescent="0.25">
      <c r="A21" t="s">
        <v>147</v>
      </c>
      <c r="B21">
        <v>82</v>
      </c>
      <c r="C21">
        <v>73</v>
      </c>
      <c r="E21" s="3">
        <f t="shared" si="0"/>
        <v>-9</v>
      </c>
    </row>
    <row r="22" spans="1:5" x14ac:dyDescent="0.25">
      <c r="A22" t="s">
        <v>155</v>
      </c>
      <c r="B22">
        <v>18</v>
      </c>
      <c r="C22">
        <v>49</v>
      </c>
      <c r="E22" s="3">
        <f t="shared" si="0"/>
        <v>31</v>
      </c>
    </row>
    <row r="23" spans="1:5" x14ac:dyDescent="0.25">
      <c r="A23" t="s">
        <v>158</v>
      </c>
      <c r="B23">
        <v>45</v>
      </c>
      <c r="C23">
        <v>60</v>
      </c>
      <c r="E23" s="3">
        <f t="shared" si="0"/>
        <v>15</v>
      </c>
    </row>
    <row r="24" spans="1:5" x14ac:dyDescent="0.25">
      <c r="A24" t="s">
        <v>162</v>
      </c>
      <c r="B24">
        <v>37</v>
      </c>
      <c r="C24">
        <v>22</v>
      </c>
      <c r="E24" s="3">
        <f t="shared" si="0"/>
        <v>-15</v>
      </c>
    </row>
    <row r="25" spans="1:5" x14ac:dyDescent="0.25">
      <c r="A25" t="s">
        <v>160</v>
      </c>
      <c r="B25">
        <v>45</v>
      </c>
      <c r="C25">
        <v>10</v>
      </c>
      <c r="E25" s="3">
        <f t="shared" si="0"/>
        <v>-35</v>
      </c>
    </row>
    <row r="26" spans="1:5" x14ac:dyDescent="0.25">
      <c r="A26" t="s">
        <v>173</v>
      </c>
      <c r="B26">
        <v>36</v>
      </c>
      <c r="C26">
        <v>48</v>
      </c>
      <c r="E26" s="3">
        <f t="shared" ref="E26:E30" si="1">C26-B26</f>
        <v>12</v>
      </c>
    </row>
    <row r="27" spans="1:5" x14ac:dyDescent="0.25">
      <c r="A27" t="s">
        <v>174</v>
      </c>
      <c r="B27">
        <v>72</v>
      </c>
      <c r="C27">
        <v>62</v>
      </c>
      <c r="E27" s="3">
        <f t="shared" si="1"/>
        <v>-10</v>
      </c>
    </row>
    <row r="28" spans="1:5" x14ac:dyDescent="0.25">
      <c r="A28" t="s">
        <v>175</v>
      </c>
      <c r="B28">
        <v>47</v>
      </c>
      <c r="C28">
        <v>38</v>
      </c>
      <c r="E28" s="3">
        <f t="shared" si="1"/>
        <v>-9</v>
      </c>
    </row>
    <row r="29" spans="1:5" x14ac:dyDescent="0.25">
      <c r="A29" t="s">
        <v>187</v>
      </c>
      <c r="B29">
        <v>55</v>
      </c>
      <c r="C29">
        <v>35</v>
      </c>
      <c r="E29" s="3">
        <f t="shared" si="1"/>
        <v>-20</v>
      </c>
    </row>
    <row r="30" spans="1:5" x14ac:dyDescent="0.25">
      <c r="A30" t="s">
        <v>186</v>
      </c>
      <c r="B30">
        <v>48</v>
      </c>
      <c r="C30">
        <v>13</v>
      </c>
      <c r="E30" s="3">
        <f t="shared" si="1"/>
        <v>-35</v>
      </c>
    </row>
    <row r="31" spans="1:5" x14ac:dyDescent="0.25">
      <c r="E31" s="3"/>
    </row>
    <row r="32" spans="1:5" s="25" customFormat="1" x14ac:dyDescent="0.25">
      <c r="A32" s="25" t="s">
        <v>1</v>
      </c>
      <c r="E32" s="27"/>
    </row>
    <row r="33" spans="1:5" x14ac:dyDescent="0.25">
      <c r="A33" t="s">
        <v>3</v>
      </c>
      <c r="B33">
        <v>58</v>
      </c>
      <c r="C33">
        <v>51</v>
      </c>
      <c r="E33" s="3">
        <f t="shared" si="0"/>
        <v>-7</v>
      </c>
    </row>
    <row r="34" spans="1:5" x14ac:dyDescent="0.25">
      <c r="A34" t="s">
        <v>13</v>
      </c>
      <c r="B34">
        <v>4</v>
      </c>
      <c r="C34">
        <v>4</v>
      </c>
      <c r="E34" s="3">
        <f t="shared" si="0"/>
        <v>0</v>
      </c>
    </row>
    <row r="35" spans="1:5" x14ac:dyDescent="0.25">
      <c r="A35" t="s">
        <v>68</v>
      </c>
      <c r="B35">
        <v>57</v>
      </c>
      <c r="C35">
        <v>49</v>
      </c>
      <c r="E35" s="3">
        <f t="shared" si="0"/>
        <v>-8</v>
      </c>
    </row>
    <row r="36" spans="1:5" x14ac:dyDescent="0.25">
      <c r="A36" t="s">
        <v>69</v>
      </c>
      <c r="B36">
        <v>56</v>
      </c>
      <c r="C36">
        <v>51</v>
      </c>
      <c r="E36" s="3">
        <f t="shared" si="0"/>
        <v>-5</v>
      </c>
    </row>
    <row r="37" spans="1:5" x14ac:dyDescent="0.25">
      <c r="A37" t="s">
        <v>70</v>
      </c>
      <c r="B37">
        <v>56</v>
      </c>
      <c r="C37">
        <v>53</v>
      </c>
      <c r="E37" s="3">
        <f t="shared" si="0"/>
        <v>-3</v>
      </c>
    </row>
    <row r="38" spans="1:5" x14ac:dyDescent="0.25">
      <c r="A38" t="s">
        <v>74</v>
      </c>
      <c r="B38">
        <v>67</v>
      </c>
      <c r="C38">
        <v>59</v>
      </c>
      <c r="E38" s="3">
        <f t="shared" si="0"/>
        <v>-8</v>
      </c>
    </row>
    <row r="39" spans="1:5" x14ac:dyDescent="0.25">
      <c r="A39" t="s">
        <v>79</v>
      </c>
      <c r="B39">
        <v>92</v>
      </c>
      <c r="C39">
        <v>96</v>
      </c>
      <c r="E39" s="3">
        <f t="shared" si="0"/>
        <v>4</v>
      </c>
    </row>
    <row r="40" spans="1:5" x14ac:dyDescent="0.25">
      <c r="A40" t="s">
        <v>80</v>
      </c>
      <c r="B40">
        <v>87</v>
      </c>
      <c r="C40">
        <v>40</v>
      </c>
      <c r="E40" s="3">
        <f t="shared" si="0"/>
        <v>-47</v>
      </c>
    </row>
    <row r="41" spans="1:5" x14ac:dyDescent="0.25">
      <c r="A41" t="s">
        <v>86</v>
      </c>
      <c r="B41">
        <v>42</v>
      </c>
      <c r="C41">
        <v>21</v>
      </c>
      <c r="E41" s="3">
        <f t="shared" si="0"/>
        <v>-21</v>
      </c>
    </row>
    <row r="42" spans="1:5" x14ac:dyDescent="0.25">
      <c r="A42" t="s">
        <v>92</v>
      </c>
      <c r="B42">
        <v>52</v>
      </c>
      <c r="C42">
        <v>17</v>
      </c>
      <c r="E42" s="3">
        <f t="shared" si="0"/>
        <v>-35</v>
      </c>
    </row>
    <row r="43" spans="1:5" x14ac:dyDescent="0.25">
      <c r="A43" t="s">
        <v>93</v>
      </c>
      <c r="B43">
        <v>80</v>
      </c>
      <c r="C43">
        <v>88</v>
      </c>
      <c r="E43" s="3">
        <f t="shared" si="0"/>
        <v>8</v>
      </c>
    </row>
    <row r="44" spans="1:5" x14ac:dyDescent="0.25">
      <c r="A44" t="s">
        <v>110</v>
      </c>
      <c r="B44">
        <v>100</v>
      </c>
      <c r="C44">
        <v>92</v>
      </c>
      <c r="E44" s="3">
        <f t="shared" si="0"/>
        <v>-8</v>
      </c>
    </row>
    <row r="45" spans="1:5" x14ac:dyDescent="0.25">
      <c r="A45" t="s">
        <v>120</v>
      </c>
      <c r="B45">
        <v>40</v>
      </c>
      <c r="C45">
        <v>32</v>
      </c>
      <c r="E45" s="3">
        <f t="shared" si="0"/>
        <v>-8</v>
      </c>
    </row>
    <row r="46" spans="1:5" x14ac:dyDescent="0.25">
      <c r="A46" t="s">
        <v>125</v>
      </c>
      <c r="B46">
        <v>64</v>
      </c>
      <c r="C46">
        <v>66</v>
      </c>
      <c r="E46" s="3">
        <f t="shared" si="0"/>
        <v>2</v>
      </c>
    </row>
    <row r="47" spans="1:5" x14ac:dyDescent="0.25">
      <c r="A47" t="s">
        <v>130</v>
      </c>
      <c r="B47">
        <v>28</v>
      </c>
      <c r="C47">
        <v>13</v>
      </c>
      <c r="E47" s="3">
        <f t="shared" si="0"/>
        <v>-15</v>
      </c>
    </row>
    <row r="48" spans="1:5" x14ac:dyDescent="0.25">
      <c r="A48" t="s">
        <v>145</v>
      </c>
      <c r="B48">
        <v>75</v>
      </c>
      <c r="C48">
        <v>39</v>
      </c>
      <c r="E48" s="3">
        <f t="shared" si="0"/>
        <v>-36</v>
      </c>
    </row>
    <row r="49" spans="1:5" x14ac:dyDescent="0.25">
      <c r="A49" t="s">
        <v>144</v>
      </c>
      <c r="B49">
        <v>62</v>
      </c>
      <c r="C49">
        <v>52</v>
      </c>
      <c r="E49" s="3">
        <f t="shared" si="0"/>
        <v>-10</v>
      </c>
    </row>
    <row r="50" spans="1:5" x14ac:dyDescent="0.25">
      <c r="A50" t="s">
        <v>132</v>
      </c>
      <c r="B50">
        <v>47</v>
      </c>
      <c r="C50">
        <v>31</v>
      </c>
      <c r="E50" s="3">
        <f t="shared" si="0"/>
        <v>-16</v>
      </c>
    </row>
    <row r="51" spans="1:5" x14ac:dyDescent="0.25">
      <c r="A51" t="s">
        <v>146</v>
      </c>
      <c r="B51">
        <v>14</v>
      </c>
      <c r="C51">
        <v>4</v>
      </c>
      <c r="E51" s="3">
        <f t="shared" si="0"/>
        <v>-10</v>
      </c>
    </row>
    <row r="52" spans="1:5" x14ac:dyDescent="0.25">
      <c r="A52" t="s">
        <v>147</v>
      </c>
      <c r="B52">
        <v>79</v>
      </c>
      <c r="C52">
        <v>58</v>
      </c>
      <c r="E52" s="3">
        <f t="shared" si="0"/>
        <v>-21</v>
      </c>
    </row>
    <row r="53" spans="1:5" x14ac:dyDescent="0.25">
      <c r="A53" t="s">
        <v>155</v>
      </c>
      <c r="B53">
        <v>72</v>
      </c>
      <c r="C53">
        <v>13</v>
      </c>
      <c r="E53" s="3">
        <f t="shared" si="0"/>
        <v>-59</v>
      </c>
    </row>
    <row r="54" spans="1:5" x14ac:dyDescent="0.25">
      <c r="A54" t="s">
        <v>158</v>
      </c>
      <c r="B54">
        <v>58</v>
      </c>
      <c r="C54">
        <v>81</v>
      </c>
      <c r="E54" s="3">
        <f t="shared" si="0"/>
        <v>23</v>
      </c>
    </row>
    <row r="55" spans="1:5" x14ac:dyDescent="0.25">
      <c r="A55" t="s">
        <v>162</v>
      </c>
      <c r="B55">
        <v>13</v>
      </c>
      <c r="C55">
        <v>30</v>
      </c>
      <c r="E55" s="3">
        <f t="shared" si="0"/>
        <v>17</v>
      </c>
    </row>
    <row r="56" spans="1:5" x14ac:dyDescent="0.25">
      <c r="A56" t="s">
        <v>160</v>
      </c>
      <c r="B56">
        <v>18</v>
      </c>
      <c r="C56">
        <v>11</v>
      </c>
      <c r="E56" s="3">
        <f t="shared" si="0"/>
        <v>-7</v>
      </c>
    </row>
    <row r="57" spans="1:5" x14ac:dyDescent="0.25">
      <c r="A57" t="s">
        <v>173</v>
      </c>
      <c r="B57">
        <v>39</v>
      </c>
      <c r="C57">
        <v>33</v>
      </c>
      <c r="E57" s="3">
        <f t="shared" si="0"/>
        <v>-6</v>
      </c>
    </row>
    <row r="58" spans="1:5" x14ac:dyDescent="0.25">
      <c r="A58" t="s">
        <v>174</v>
      </c>
      <c r="B58">
        <v>73</v>
      </c>
      <c r="C58">
        <v>66</v>
      </c>
      <c r="E58" s="3">
        <f t="shared" si="0"/>
        <v>-7</v>
      </c>
    </row>
    <row r="59" spans="1:5" x14ac:dyDescent="0.25">
      <c r="A59" t="s">
        <v>175</v>
      </c>
      <c r="B59">
        <v>57</v>
      </c>
      <c r="C59">
        <v>57</v>
      </c>
      <c r="E59" s="3">
        <f t="shared" si="0"/>
        <v>0</v>
      </c>
    </row>
    <row r="60" spans="1:5" x14ac:dyDescent="0.25">
      <c r="A60" t="s">
        <v>187</v>
      </c>
      <c r="B60">
        <v>35</v>
      </c>
      <c r="C60">
        <v>34</v>
      </c>
      <c r="E60" s="3">
        <f t="shared" si="0"/>
        <v>-1</v>
      </c>
    </row>
    <row r="61" spans="1:5" x14ac:dyDescent="0.25">
      <c r="A61" t="s">
        <v>186</v>
      </c>
      <c r="B61">
        <v>38</v>
      </c>
      <c r="C61">
        <v>18</v>
      </c>
      <c r="E61" s="3">
        <f t="shared" ref="E61" si="2">C61-B61</f>
        <v>-20</v>
      </c>
    </row>
    <row r="62" spans="1:5" x14ac:dyDescent="0.25">
      <c r="E62" s="3"/>
    </row>
    <row r="63" spans="1:5" x14ac:dyDescent="0.25">
      <c r="D63" s="25"/>
      <c r="E63" s="37"/>
    </row>
    <row r="64" spans="1:5" x14ac:dyDescent="0.25">
      <c r="E64" s="3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  <row r="67" spans="4:6" x14ac:dyDescent="0.25">
      <c r="E67" s="3"/>
    </row>
    <row r="68" spans="4:6" x14ac:dyDescent="0.25">
      <c r="E68" s="3"/>
    </row>
    <row r="69" spans="4:6" x14ac:dyDescent="0.25">
      <c r="E69" s="3"/>
    </row>
    <row r="70" spans="4:6" x14ac:dyDescent="0.25">
      <c r="E70" s="3"/>
    </row>
    <row r="71" spans="4:6" x14ac:dyDescent="0.25">
      <c r="E71" s="3"/>
    </row>
    <row r="72" spans="4:6" x14ac:dyDescent="0.25">
      <c r="E72" s="3"/>
    </row>
    <row r="73" spans="4:6" x14ac:dyDescent="0.25">
      <c r="E73" s="3"/>
    </row>
    <row r="74" spans="4:6" x14ac:dyDescent="0.25">
      <c r="E74" s="3"/>
    </row>
    <row r="75" spans="4:6" x14ac:dyDescent="0.25">
      <c r="E75" s="3"/>
    </row>
    <row r="76" spans="4:6" x14ac:dyDescent="0.25">
      <c r="E76" s="3"/>
    </row>
    <row r="77" spans="4:6" x14ac:dyDescent="0.25">
      <c r="E77" s="3"/>
    </row>
    <row r="78" spans="4:6" x14ac:dyDescent="0.25">
      <c r="E78" s="3"/>
    </row>
    <row r="79" spans="4:6" x14ac:dyDescent="0.25">
      <c r="E79" s="3"/>
    </row>
    <row r="80" spans="4:6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6"/>
  <sheetViews>
    <sheetView zoomScale="55" zoomScaleNormal="55" workbookViewId="0">
      <selection activeCell="I31" sqref="I31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5" x14ac:dyDescent="0.25">
      <c r="A2" t="s">
        <v>3</v>
      </c>
      <c r="B2">
        <v>30</v>
      </c>
      <c r="C2">
        <v>11</v>
      </c>
      <c r="E2" s="3">
        <f>C2-B2</f>
        <v>-19</v>
      </c>
    </row>
    <row r="3" spans="1:5" x14ac:dyDescent="0.25">
      <c r="A3" t="s">
        <v>13</v>
      </c>
      <c r="B3">
        <v>0</v>
      </c>
      <c r="C3">
        <v>0</v>
      </c>
      <c r="E3" s="3">
        <f t="shared" ref="E3:E60" si="0">C3-B3</f>
        <v>0</v>
      </c>
    </row>
    <row r="4" spans="1:5" x14ac:dyDescent="0.25">
      <c r="A4" t="s">
        <v>68</v>
      </c>
      <c r="B4">
        <v>25</v>
      </c>
      <c r="C4">
        <v>10</v>
      </c>
      <c r="E4" s="3">
        <f t="shared" si="0"/>
        <v>-15</v>
      </c>
    </row>
    <row r="5" spans="1:5" x14ac:dyDescent="0.25">
      <c r="A5" t="s">
        <v>69</v>
      </c>
      <c r="B5">
        <v>46</v>
      </c>
      <c r="C5">
        <v>48</v>
      </c>
      <c r="E5" s="3">
        <f t="shared" si="0"/>
        <v>2</v>
      </c>
    </row>
    <row r="6" spans="1:5" x14ac:dyDescent="0.25">
      <c r="A6" t="s">
        <v>70</v>
      </c>
      <c r="B6">
        <v>49</v>
      </c>
      <c r="C6">
        <v>7</v>
      </c>
      <c r="E6" s="3">
        <f t="shared" si="0"/>
        <v>-42</v>
      </c>
    </row>
    <row r="7" spans="1:5" x14ac:dyDescent="0.25">
      <c r="A7" t="s">
        <v>74</v>
      </c>
      <c r="B7">
        <v>11</v>
      </c>
      <c r="C7">
        <v>31</v>
      </c>
      <c r="E7" s="3">
        <f t="shared" si="0"/>
        <v>20</v>
      </c>
    </row>
    <row r="8" spans="1:5" x14ac:dyDescent="0.25">
      <c r="A8" t="s">
        <v>79</v>
      </c>
      <c r="B8">
        <v>51</v>
      </c>
      <c r="C8">
        <v>97</v>
      </c>
      <c r="E8" s="3">
        <f t="shared" si="0"/>
        <v>46</v>
      </c>
    </row>
    <row r="9" spans="1:5" x14ac:dyDescent="0.25">
      <c r="A9" t="s">
        <v>80</v>
      </c>
      <c r="B9">
        <v>67</v>
      </c>
      <c r="C9">
        <v>52</v>
      </c>
      <c r="E9" s="3">
        <f t="shared" si="0"/>
        <v>-15</v>
      </c>
    </row>
    <row r="10" spans="1:5" x14ac:dyDescent="0.25">
      <c r="A10" t="s">
        <v>86</v>
      </c>
      <c r="B10">
        <v>13</v>
      </c>
      <c r="C10">
        <v>1</v>
      </c>
      <c r="E10" s="3">
        <f t="shared" si="0"/>
        <v>-12</v>
      </c>
    </row>
    <row r="11" spans="1:5" x14ac:dyDescent="0.25">
      <c r="A11" t="s">
        <v>92</v>
      </c>
      <c r="B11">
        <v>7</v>
      </c>
      <c r="C11">
        <v>0</v>
      </c>
      <c r="E11" s="3">
        <f t="shared" si="0"/>
        <v>-7</v>
      </c>
    </row>
    <row r="12" spans="1:5" x14ac:dyDescent="0.25">
      <c r="A12" t="s">
        <v>93</v>
      </c>
      <c r="B12">
        <v>1</v>
      </c>
      <c r="C12">
        <v>11</v>
      </c>
      <c r="E12" s="3">
        <f t="shared" si="0"/>
        <v>10</v>
      </c>
    </row>
    <row r="13" spans="1:5" x14ac:dyDescent="0.25">
      <c r="A13" t="s">
        <v>110</v>
      </c>
      <c r="B13">
        <v>1</v>
      </c>
      <c r="C13">
        <v>0</v>
      </c>
      <c r="E13" s="3">
        <f t="shared" si="0"/>
        <v>-1</v>
      </c>
    </row>
    <row r="14" spans="1:5" x14ac:dyDescent="0.25">
      <c r="A14" t="s">
        <v>120</v>
      </c>
      <c r="B14">
        <v>16</v>
      </c>
      <c r="C14">
        <v>17</v>
      </c>
      <c r="E14" s="3">
        <f t="shared" si="0"/>
        <v>1</v>
      </c>
    </row>
    <row r="15" spans="1:5" x14ac:dyDescent="0.25">
      <c r="A15" t="s">
        <v>125</v>
      </c>
      <c r="B15">
        <v>19</v>
      </c>
      <c r="C15">
        <v>8</v>
      </c>
      <c r="E15" s="3">
        <f t="shared" si="0"/>
        <v>-11</v>
      </c>
    </row>
    <row r="16" spans="1:5" x14ac:dyDescent="0.25">
      <c r="A16" t="s">
        <v>130</v>
      </c>
      <c r="B16">
        <v>9</v>
      </c>
      <c r="C16">
        <v>25</v>
      </c>
      <c r="E16" s="3">
        <f t="shared" si="0"/>
        <v>16</v>
      </c>
    </row>
    <row r="17" spans="1:5" x14ac:dyDescent="0.25">
      <c r="A17" t="s">
        <v>145</v>
      </c>
      <c r="B17">
        <v>3</v>
      </c>
      <c r="C17">
        <v>17</v>
      </c>
      <c r="E17" s="3">
        <f t="shared" si="0"/>
        <v>14</v>
      </c>
    </row>
    <row r="18" spans="1:5" x14ac:dyDescent="0.25">
      <c r="A18" t="s">
        <v>144</v>
      </c>
      <c r="B18">
        <v>18</v>
      </c>
      <c r="C18">
        <v>28</v>
      </c>
      <c r="E18" s="3">
        <f t="shared" si="0"/>
        <v>10</v>
      </c>
    </row>
    <row r="19" spans="1:5" x14ac:dyDescent="0.25">
      <c r="A19" t="s">
        <v>132</v>
      </c>
      <c r="B19">
        <v>46</v>
      </c>
      <c r="C19">
        <v>50</v>
      </c>
      <c r="E19" s="3">
        <f t="shared" si="0"/>
        <v>4</v>
      </c>
    </row>
    <row r="20" spans="1:5" x14ac:dyDescent="0.25">
      <c r="A20" t="s">
        <v>146</v>
      </c>
      <c r="B20">
        <v>14</v>
      </c>
      <c r="C20">
        <v>6</v>
      </c>
      <c r="E20" s="3">
        <f t="shared" si="0"/>
        <v>-8</v>
      </c>
    </row>
    <row r="21" spans="1:5" x14ac:dyDescent="0.25">
      <c r="A21" t="s">
        <v>147</v>
      </c>
      <c r="B21">
        <v>80</v>
      </c>
      <c r="C21">
        <v>64</v>
      </c>
      <c r="E21" s="3">
        <f t="shared" si="0"/>
        <v>-16</v>
      </c>
    </row>
    <row r="22" spans="1:5" x14ac:dyDescent="0.25">
      <c r="A22" t="s">
        <v>155</v>
      </c>
      <c r="B22">
        <v>1</v>
      </c>
      <c r="C22">
        <v>1</v>
      </c>
      <c r="E22" s="3">
        <f t="shared" si="0"/>
        <v>0</v>
      </c>
    </row>
    <row r="23" spans="1:5" x14ac:dyDescent="0.25">
      <c r="A23" t="s">
        <v>158</v>
      </c>
      <c r="B23">
        <v>51</v>
      </c>
      <c r="C23">
        <v>62</v>
      </c>
      <c r="E23" s="3">
        <f t="shared" si="0"/>
        <v>11</v>
      </c>
    </row>
    <row r="24" spans="1:5" x14ac:dyDescent="0.25">
      <c r="A24" t="s">
        <v>162</v>
      </c>
      <c r="B24">
        <v>11</v>
      </c>
      <c r="C24">
        <v>12</v>
      </c>
      <c r="E24" s="3">
        <f t="shared" si="0"/>
        <v>1</v>
      </c>
    </row>
    <row r="25" spans="1:5" x14ac:dyDescent="0.25">
      <c r="A25" t="s">
        <v>160</v>
      </c>
      <c r="B25">
        <v>3</v>
      </c>
      <c r="C25">
        <v>5</v>
      </c>
      <c r="E25" s="3">
        <f t="shared" si="0"/>
        <v>2</v>
      </c>
    </row>
    <row r="26" spans="1:5" x14ac:dyDescent="0.25">
      <c r="A26" t="s">
        <v>173</v>
      </c>
      <c r="B26">
        <v>35</v>
      </c>
      <c r="C26">
        <v>10</v>
      </c>
      <c r="E26" s="3">
        <f t="shared" ref="E26:E30" si="1">C26-B26</f>
        <v>-25</v>
      </c>
    </row>
    <row r="27" spans="1:5" x14ac:dyDescent="0.25">
      <c r="A27" t="s">
        <v>174</v>
      </c>
      <c r="B27">
        <v>3</v>
      </c>
      <c r="C27">
        <v>2</v>
      </c>
      <c r="E27" s="3">
        <f t="shared" si="1"/>
        <v>-1</v>
      </c>
    </row>
    <row r="28" spans="1:5" x14ac:dyDescent="0.25">
      <c r="A28" t="s">
        <v>175</v>
      </c>
      <c r="B28">
        <v>24</v>
      </c>
      <c r="C28">
        <v>33</v>
      </c>
      <c r="E28" s="3">
        <f t="shared" si="1"/>
        <v>9</v>
      </c>
    </row>
    <row r="29" spans="1:5" x14ac:dyDescent="0.25">
      <c r="A29" t="s">
        <v>187</v>
      </c>
      <c r="B29">
        <v>56</v>
      </c>
      <c r="C29">
        <v>42</v>
      </c>
      <c r="E29" s="3">
        <f t="shared" si="1"/>
        <v>-14</v>
      </c>
    </row>
    <row r="30" spans="1:5" x14ac:dyDescent="0.25">
      <c r="A30" t="s">
        <v>186</v>
      </c>
      <c r="B30">
        <v>48</v>
      </c>
      <c r="C30">
        <v>21</v>
      </c>
      <c r="E30" s="3">
        <f t="shared" si="1"/>
        <v>-27</v>
      </c>
    </row>
    <row r="31" spans="1:5" x14ac:dyDescent="0.25">
      <c r="E31" s="3"/>
    </row>
    <row r="32" spans="1:5" s="25" customFormat="1" x14ac:dyDescent="0.25">
      <c r="A32" s="25" t="s">
        <v>1</v>
      </c>
      <c r="E32" s="27"/>
    </row>
    <row r="33" spans="1:5" x14ac:dyDescent="0.25">
      <c r="A33" t="s">
        <v>3</v>
      </c>
      <c r="B33">
        <v>31</v>
      </c>
      <c r="C33">
        <v>12</v>
      </c>
      <c r="E33" s="3">
        <f t="shared" si="0"/>
        <v>-19</v>
      </c>
    </row>
    <row r="34" spans="1:5" x14ac:dyDescent="0.25">
      <c r="A34" t="s">
        <v>13</v>
      </c>
      <c r="B34">
        <v>0</v>
      </c>
      <c r="C34">
        <v>0</v>
      </c>
      <c r="E34" s="3">
        <f t="shared" si="0"/>
        <v>0</v>
      </c>
    </row>
    <row r="35" spans="1:5" x14ac:dyDescent="0.25">
      <c r="A35" t="s">
        <v>68</v>
      </c>
      <c r="B35">
        <v>7</v>
      </c>
      <c r="C35">
        <v>3</v>
      </c>
      <c r="E35" s="3">
        <f t="shared" si="0"/>
        <v>-4</v>
      </c>
    </row>
    <row r="36" spans="1:5" x14ac:dyDescent="0.25">
      <c r="A36" t="s">
        <v>69</v>
      </c>
      <c r="B36">
        <v>61</v>
      </c>
      <c r="C36">
        <v>58</v>
      </c>
      <c r="E36" s="3">
        <f t="shared" si="0"/>
        <v>-3</v>
      </c>
    </row>
    <row r="37" spans="1:5" x14ac:dyDescent="0.25">
      <c r="A37" t="s">
        <v>70</v>
      </c>
      <c r="B37">
        <v>9</v>
      </c>
      <c r="C37">
        <v>15</v>
      </c>
      <c r="E37" s="3">
        <f t="shared" si="0"/>
        <v>6</v>
      </c>
    </row>
    <row r="38" spans="1:5" x14ac:dyDescent="0.25">
      <c r="A38" t="s">
        <v>74</v>
      </c>
      <c r="B38">
        <v>16</v>
      </c>
      <c r="C38">
        <v>23</v>
      </c>
      <c r="E38" s="3">
        <f t="shared" si="0"/>
        <v>7</v>
      </c>
    </row>
    <row r="39" spans="1:5" x14ac:dyDescent="0.25">
      <c r="A39" t="s">
        <v>79</v>
      </c>
      <c r="B39">
        <v>93</v>
      </c>
      <c r="C39">
        <v>85</v>
      </c>
      <c r="E39" s="3">
        <f t="shared" si="0"/>
        <v>-8</v>
      </c>
    </row>
    <row r="40" spans="1:5" x14ac:dyDescent="0.25">
      <c r="A40" t="s">
        <v>80</v>
      </c>
      <c r="B40">
        <v>75</v>
      </c>
      <c r="C40">
        <v>75</v>
      </c>
      <c r="E40" s="3">
        <f t="shared" si="0"/>
        <v>0</v>
      </c>
    </row>
    <row r="41" spans="1:5" x14ac:dyDescent="0.25">
      <c r="A41" t="s">
        <v>86</v>
      </c>
      <c r="B41">
        <v>2</v>
      </c>
      <c r="C41">
        <v>5</v>
      </c>
      <c r="E41" s="3">
        <f t="shared" si="0"/>
        <v>3</v>
      </c>
    </row>
    <row r="42" spans="1:5" x14ac:dyDescent="0.25">
      <c r="A42" t="s">
        <v>92</v>
      </c>
      <c r="B42">
        <v>19</v>
      </c>
      <c r="C42">
        <v>24</v>
      </c>
      <c r="E42" s="3">
        <f t="shared" si="0"/>
        <v>5</v>
      </c>
    </row>
    <row r="43" spans="1:5" x14ac:dyDescent="0.25">
      <c r="A43" t="s">
        <v>93</v>
      </c>
      <c r="B43">
        <v>15</v>
      </c>
      <c r="C43">
        <v>5</v>
      </c>
      <c r="E43" s="3">
        <f t="shared" si="0"/>
        <v>-10</v>
      </c>
    </row>
    <row r="44" spans="1:5" x14ac:dyDescent="0.25">
      <c r="A44" t="s">
        <v>110</v>
      </c>
      <c r="B44">
        <v>0</v>
      </c>
      <c r="C44">
        <v>0</v>
      </c>
      <c r="E44" s="3">
        <f t="shared" si="0"/>
        <v>0</v>
      </c>
    </row>
    <row r="45" spans="1:5" x14ac:dyDescent="0.25">
      <c r="A45" t="s">
        <v>120</v>
      </c>
      <c r="B45">
        <v>26</v>
      </c>
      <c r="C45">
        <v>5</v>
      </c>
      <c r="E45" s="3">
        <f t="shared" si="0"/>
        <v>-21</v>
      </c>
    </row>
    <row r="46" spans="1:5" x14ac:dyDescent="0.25">
      <c r="A46" t="s">
        <v>125</v>
      </c>
      <c r="B46">
        <v>27</v>
      </c>
      <c r="C46">
        <v>26</v>
      </c>
      <c r="E46" s="3">
        <f t="shared" si="0"/>
        <v>-1</v>
      </c>
    </row>
    <row r="47" spans="1:5" x14ac:dyDescent="0.25">
      <c r="A47" t="s">
        <v>130</v>
      </c>
      <c r="B47">
        <v>16</v>
      </c>
      <c r="C47">
        <v>11</v>
      </c>
      <c r="E47" s="3">
        <f t="shared" si="0"/>
        <v>-5</v>
      </c>
    </row>
    <row r="48" spans="1:5" x14ac:dyDescent="0.25">
      <c r="A48" t="s">
        <v>145</v>
      </c>
      <c r="B48">
        <v>35</v>
      </c>
      <c r="C48">
        <v>4</v>
      </c>
      <c r="E48" s="3">
        <f t="shared" si="0"/>
        <v>-31</v>
      </c>
    </row>
    <row r="49" spans="1:5" x14ac:dyDescent="0.25">
      <c r="A49" t="s">
        <v>144</v>
      </c>
      <c r="B49">
        <v>53</v>
      </c>
      <c r="C49">
        <v>44</v>
      </c>
      <c r="E49" s="3">
        <f t="shared" si="0"/>
        <v>-9</v>
      </c>
    </row>
    <row r="50" spans="1:5" x14ac:dyDescent="0.25">
      <c r="A50" t="s">
        <v>132</v>
      </c>
      <c r="B50">
        <v>32</v>
      </c>
      <c r="C50">
        <v>39</v>
      </c>
      <c r="E50" s="3">
        <f t="shared" si="0"/>
        <v>7</v>
      </c>
    </row>
    <row r="51" spans="1:5" x14ac:dyDescent="0.25">
      <c r="A51" t="s">
        <v>146</v>
      </c>
      <c r="B51">
        <v>11</v>
      </c>
      <c r="C51">
        <v>3</v>
      </c>
      <c r="E51" s="3">
        <f t="shared" si="0"/>
        <v>-8</v>
      </c>
    </row>
    <row r="52" spans="1:5" x14ac:dyDescent="0.25">
      <c r="A52" t="s">
        <v>147</v>
      </c>
      <c r="B52">
        <v>8</v>
      </c>
      <c r="C52">
        <v>86</v>
      </c>
      <c r="E52" s="3">
        <f t="shared" si="0"/>
        <v>78</v>
      </c>
    </row>
    <row r="53" spans="1:5" x14ac:dyDescent="0.25">
      <c r="A53" t="s">
        <v>155</v>
      </c>
      <c r="B53">
        <v>3</v>
      </c>
      <c r="C53">
        <v>1</v>
      </c>
      <c r="E53" s="3">
        <f t="shared" si="0"/>
        <v>-2</v>
      </c>
    </row>
    <row r="54" spans="1:5" x14ac:dyDescent="0.25">
      <c r="A54" t="s">
        <v>158</v>
      </c>
      <c r="B54">
        <v>22</v>
      </c>
      <c r="C54">
        <v>60</v>
      </c>
      <c r="E54" s="3">
        <f t="shared" si="0"/>
        <v>38</v>
      </c>
    </row>
    <row r="55" spans="1:5" x14ac:dyDescent="0.25">
      <c r="A55" t="s">
        <v>162</v>
      </c>
      <c r="B55">
        <v>3</v>
      </c>
      <c r="C55">
        <v>10</v>
      </c>
      <c r="E55" s="3">
        <f t="shared" si="0"/>
        <v>7</v>
      </c>
    </row>
    <row r="56" spans="1:5" x14ac:dyDescent="0.25">
      <c r="A56" t="s">
        <v>160</v>
      </c>
      <c r="B56">
        <v>3</v>
      </c>
      <c r="C56">
        <v>21</v>
      </c>
      <c r="E56" s="3">
        <f t="shared" si="0"/>
        <v>18</v>
      </c>
    </row>
    <row r="57" spans="1:5" x14ac:dyDescent="0.25">
      <c r="A57" t="s">
        <v>173</v>
      </c>
      <c r="B57">
        <v>14</v>
      </c>
      <c r="C57">
        <v>31</v>
      </c>
      <c r="E57" s="3">
        <f t="shared" si="0"/>
        <v>17</v>
      </c>
    </row>
    <row r="58" spans="1:5" x14ac:dyDescent="0.25">
      <c r="A58" t="s">
        <v>174</v>
      </c>
      <c r="B58">
        <v>22</v>
      </c>
      <c r="C58">
        <v>5</v>
      </c>
      <c r="E58" s="3">
        <f t="shared" si="0"/>
        <v>-17</v>
      </c>
    </row>
    <row r="59" spans="1:5" x14ac:dyDescent="0.25">
      <c r="A59" t="s">
        <v>175</v>
      </c>
      <c r="B59">
        <v>58</v>
      </c>
      <c r="C59">
        <v>24</v>
      </c>
      <c r="E59" s="3">
        <f t="shared" si="0"/>
        <v>-34</v>
      </c>
    </row>
    <row r="60" spans="1:5" x14ac:dyDescent="0.25">
      <c r="A60" t="s">
        <v>187</v>
      </c>
      <c r="B60">
        <v>34</v>
      </c>
      <c r="C60">
        <v>30</v>
      </c>
      <c r="E60" s="3">
        <f t="shared" si="0"/>
        <v>-4</v>
      </c>
    </row>
    <row r="61" spans="1:5" x14ac:dyDescent="0.25">
      <c r="A61" t="s">
        <v>186</v>
      </c>
      <c r="B61">
        <v>56</v>
      </c>
      <c r="C61">
        <v>27</v>
      </c>
      <c r="E61" s="3">
        <f t="shared" ref="E61" si="2">C61-B61</f>
        <v>-29</v>
      </c>
    </row>
    <row r="62" spans="1:5" x14ac:dyDescent="0.25">
      <c r="E62" s="3"/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71"/>
  <sheetViews>
    <sheetView zoomScale="55" zoomScaleNormal="55" workbookViewId="0">
      <selection activeCell="K24" sqref="K24"/>
    </sheetView>
  </sheetViews>
  <sheetFormatPr defaultRowHeight="15" x14ac:dyDescent="0.25"/>
  <cols>
    <col min="2" max="2" width="11" bestFit="1" customWidth="1"/>
  </cols>
  <sheetData>
    <row r="1" spans="1:5" s="25" customFormat="1" x14ac:dyDescent="0.25">
      <c r="A1" s="25" t="s">
        <v>0</v>
      </c>
      <c r="B1" s="25" t="s">
        <v>14</v>
      </c>
      <c r="C1" s="25" t="s">
        <v>15</v>
      </c>
      <c r="D1" s="25" t="s">
        <v>16</v>
      </c>
      <c r="E1" s="25" t="s">
        <v>17</v>
      </c>
    </row>
    <row r="2" spans="1:5" x14ac:dyDescent="0.25">
      <c r="A2" t="s">
        <v>3</v>
      </c>
      <c r="B2">
        <v>19</v>
      </c>
      <c r="C2">
        <v>3</v>
      </c>
      <c r="D2">
        <v>81</v>
      </c>
      <c r="E2">
        <v>14</v>
      </c>
    </row>
    <row r="3" spans="1:5" x14ac:dyDescent="0.25">
      <c r="A3" t="s">
        <v>13</v>
      </c>
      <c r="B3">
        <v>0</v>
      </c>
      <c r="C3">
        <v>0</v>
      </c>
      <c r="D3">
        <v>3</v>
      </c>
      <c r="E3">
        <v>0</v>
      </c>
    </row>
    <row r="4" spans="1:5" x14ac:dyDescent="0.25">
      <c r="A4" t="s">
        <v>68</v>
      </c>
      <c r="B4">
        <v>16</v>
      </c>
      <c r="C4">
        <v>9</v>
      </c>
      <c r="D4">
        <v>78</v>
      </c>
      <c r="E4">
        <v>10</v>
      </c>
    </row>
    <row r="5" spans="1:5" x14ac:dyDescent="0.25">
      <c r="A5" t="s">
        <v>69</v>
      </c>
      <c r="B5">
        <v>80</v>
      </c>
      <c r="C5">
        <v>11</v>
      </c>
      <c r="D5">
        <v>30</v>
      </c>
      <c r="E5">
        <v>58</v>
      </c>
    </row>
    <row r="6" spans="1:5" x14ac:dyDescent="0.25">
      <c r="A6" t="s">
        <v>70</v>
      </c>
      <c r="B6">
        <v>1</v>
      </c>
      <c r="C6">
        <v>1</v>
      </c>
      <c r="D6">
        <v>67</v>
      </c>
      <c r="E6">
        <v>23</v>
      </c>
    </row>
    <row r="7" spans="1:5" x14ac:dyDescent="0.25">
      <c r="A7" t="s">
        <v>74</v>
      </c>
      <c r="B7">
        <v>6</v>
      </c>
      <c r="C7">
        <v>7</v>
      </c>
      <c r="D7">
        <v>5</v>
      </c>
      <c r="E7">
        <v>1</v>
      </c>
    </row>
    <row r="8" spans="1:5" x14ac:dyDescent="0.25">
      <c r="A8" t="s">
        <v>79</v>
      </c>
      <c r="B8">
        <v>51</v>
      </c>
      <c r="C8">
        <v>24</v>
      </c>
      <c r="D8">
        <v>66</v>
      </c>
      <c r="E8">
        <v>19</v>
      </c>
    </row>
    <row r="9" spans="1:5" x14ac:dyDescent="0.25">
      <c r="A9" t="s">
        <v>80</v>
      </c>
      <c r="B9">
        <v>1</v>
      </c>
      <c r="C9">
        <v>13</v>
      </c>
      <c r="D9">
        <v>99</v>
      </c>
      <c r="E9">
        <v>31</v>
      </c>
    </row>
    <row r="10" spans="1:5" x14ac:dyDescent="0.25">
      <c r="A10" t="s">
        <v>86</v>
      </c>
      <c r="B10">
        <v>7</v>
      </c>
      <c r="C10">
        <v>1</v>
      </c>
      <c r="D10">
        <v>19</v>
      </c>
      <c r="E10">
        <v>1</v>
      </c>
    </row>
    <row r="11" spans="1:5" x14ac:dyDescent="0.25">
      <c r="A11" t="s">
        <v>92</v>
      </c>
      <c r="B11">
        <v>20</v>
      </c>
      <c r="C11">
        <v>0</v>
      </c>
      <c r="D11">
        <v>0</v>
      </c>
      <c r="E11">
        <v>0</v>
      </c>
    </row>
    <row r="12" spans="1:5" x14ac:dyDescent="0.25">
      <c r="A12" t="s">
        <v>93</v>
      </c>
      <c r="B12">
        <v>8</v>
      </c>
      <c r="C12">
        <v>9</v>
      </c>
      <c r="D12">
        <v>15</v>
      </c>
      <c r="E12">
        <v>0</v>
      </c>
    </row>
    <row r="13" spans="1:5" x14ac:dyDescent="0.25">
      <c r="A13" t="s">
        <v>110</v>
      </c>
      <c r="B13">
        <v>0</v>
      </c>
      <c r="C13">
        <v>0</v>
      </c>
      <c r="D13">
        <v>52</v>
      </c>
      <c r="E13">
        <v>0</v>
      </c>
    </row>
    <row r="14" spans="1:5" x14ac:dyDescent="0.25">
      <c r="A14" t="s">
        <v>120</v>
      </c>
      <c r="B14">
        <v>22</v>
      </c>
      <c r="C14">
        <v>6</v>
      </c>
      <c r="D14">
        <v>29</v>
      </c>
      <c r="E14">
        <v>6</v>
      </c>
    </row>
    <row r="15" spans="1:5" x14ac:dyDescent="0.25">
      <c r="A15" t="s">
        <v>125</v>
      </c>
      <c r="B15">
        <v>20</v>
      </c>
      <c r="C15">
        <v>0</v>
      </c>
      <c r="D15">
        <v>0</v>
      </c>
      <c r="E15">
        <v>0</v>
      </c>
    </row>
    <row r="16" spans="1:5" x14ac:dyDescent="0.25">
      <c r="A16" t="s">
        <v>130</v>
      </c>
      <c r="B16">
        <v>2</v>
      </c>
      <c r="C16">
        <v>3</v>
      </c>
      <c r="D16">
        <v>98</v>
      </c>
      <c r="E16">
        <v>3</v>
      </c>
    </row>
    <row r="17" spans="1:5" x14ac:dyDescent="0.25">
      <c r="A17" t="s">
        <v>145</v>
      </c>
      <c r="B17">
        <v>7</v>
      </c>
      <c r="C17">
        <v>5</v>
      </c>
      <c r="D17">
        <v>88</v>
      </c>
      <c r="E17">
        <v>7</v>
      </c>
    </row>
    <row r="18" spans="1:5" x14ac:dyDescent="0.25">
      <c r="A18" t="s">
        <v>144</v>
      </c>
      <c r="B18">
        <v>4</v>
      </c>
      <c r="C18">
        <v>3</v>
      </c>
      <c r="D18">
        <v>86</v>
      </c>
      <c r="E18">
        <v>2</v>
      </c>
    </row>
    <row r="19" spans="1:5" x14ac:dyDescent="0.25">
      <c r="A19" t="s">
        <v>132</v>
      </c>
      <c r="B19">
        <v>7</v>
      </c>
      <c r="C19">
        <v>25</v>
      </c>
      <c r="D19">
        <v>54</v>
      </c>
      <c r="E19">
        <v>21</v>
      </c>
    </row>
    <row r="20" spans="1:5" x14ac:dyDescent="0.25">
      <c r="A20" t="s">
        <v>146</v>
      </c>
      <c r="B20">
        <v>62</v>
      </c>
      <c r="C20">
        <v>23</v>
      </c>
      <c r="D20">
        <v>44</v>
      </c>
      <c r="E20">
        <v>32</v>
      </c>
    </row>
    <row r="21" spans="1:5" x14ac:dyDescent="0.25">
      <c r="A21" t="s">
        <v>147</v>
      </c>
      <c r="B21">
        <v>14</v>
      </c>
      <c r="C21">
        <v>3</v>
      </c>
      <c r="D21">
        <v>95</v>
      </c>
      <c r="E21">
        <v>3</v>
      </c>
    </row>
    <row r="22" spans="1:5" x14ac:dyDescent="0.25">
      <c r="A22" t="s">
        <v>155</v>
      </c>
      <c r="B22">
        <v>1</v>
      </c>
      <c r="C22">
        <v>2</v>
      </c>
      <c r="D22">
        <v>43</v>
      </c>
      <c r="E22">
        <v>1</v>
      </c>
    </row>
    <row r="23" spans="1:5" x14ac:dyDescent="0.25">
      <c r="A23" t="s">
        <v>158</v>
      </c>
      <c r="B23">
        <v>4</v>
      </c>
      <c r="C23">
        <v>5</v>
      </c>
      <c r="D23">
        <v>6</v>
      </c>
      <c r="E23">
        <v>6</v>
      </c>
    </row>
    <row r="24" spans="1:5" x14ac:dyDescent="0.25">
      <c r="A24" t="s">
        <v>162</v>
      </c>
      <c r="B24">
        <v>12</v>
      </c>
      <c r="C24">
        <v>8</v>
      </c>
      <c r="D24">
        <v>9</v>
      </c>
      <c r="E24">
        <v>12</v>
      </c>
    </row>
    <row r="25" spans="1:5" x14ac:dyDescent="0.25">
      <c r="A25" t="s">
        <v>160</v>
      </c>
      <c r="B25">
        <v>12</v>
      </c>
      <c r="C25">
        <v>13</v>
      </c>
      <c r="D25">
        <v>5</v>
      </c>
      <c r="E25">
        <v>2</v>
      </c>
    </row>
    <row r="26" spans="1:5" x14ac:dyDescent="0.25">
      <c r="A26" t="s">
        <v>173</v>
      </c>
      <c r="B26">
        <v>14</v>
      </c>
      <c r="C26">
        <v>15</v>
      </c>
      <c r="D26">
        <v>15</v>
      </c>
      <c r="E26">
        <v>4</v>
      </c>
    </row>
    <row r="27" spans="1:5" x14ac:dyDescent="0.25">
      <c r="A27" t="s">
        <v>174</v>
      </c>
      <c r="B27">
        <v>2</v>
      </c>
      <c r="C27">
        <v>2</v>
      </c>
      <c r="D27">
        <v>84</v>
      </c>
      <c r="E27">
        <v>2</v>
      </c>
    </row>
    <row r="28" spans="1:5" x14ac:dyDescent="0.25">
      <c r="A28" t="s">
        <v>175</v>
      </c>
      <c r="B28">
        <v>12</v>
      </c>
      <c r="C28">
        <v>60</v>
      </c>
      <c r="D28">
        <v>58</v>
      </c>
      <c r="E28">
        <v>40</v>
      </c>
    </row>
    <row r="29" spans="1:5" x14ac:dyDescent="0.25">
      <c r="A29" t="s">
        <v>187</v>
      </c>
      <c r="B29">
        <v>18</v>
      </c>
      <c r="C29">
        <v>34</v>
      </c>
      <c r="D29">
        <v>56</v>
      </c>
      <c r="E29">
        <v>16</v>
      </c>
    </row>
    <row r="30" spans="1:5" x14ac:dyDescent="0.25">
      <c r="A30" t="s">
        <v>186</v>
      </c>
      <c r="B30">
        <v>5</v>
      </c>
      <c r="C30">
        <v>2</v>
      </c>
      <c r="D30">
        <v>90</v>
      </c>
      <c r="E30">
        <v>3</v>
      </c>
    </row>
    <row r="32" spans="1:5" s="25" customFormat="1" x14ac:dyDescent="0.25">
      <c r="A32" s="25" t="s">
        <v>1</v>
      </c>
    </row>
    <row r="33" spans="1:5" x14ac:dyDescent="0.25">
      <c r="A33" t="s">
        <v>3</v>
      </c>
      <c r="B33">
        <v>68</v>
      </c>
      <c r="C33">
        <v>3</v>
      </c>
      <c r="D33">
        <v>6</v>
      </c>
      <c r="E33">
        <v>13</v>
      </c>
    </row>
    <row r="34" spans="1:5" x14ac:dyDescent="0.25">
      <c r="A34" t="s">
        <v>13</v>
      </c>
      <c r="B34">
        <v>70</v>
      </c>
      <c r="C34">
        <v>0</v>
      </c>
      <c r="D34">
        <v>4</v>
      </c>
      <c r="E34">
        <v>0</v>
      </c>
    </row>
    <row r="35" spans="1:5" x14ac:dyDescent="0.25">
      <c r="A35" t="s">
        <v>68</v>
      </c>
      <c r="B35">
        <v>81</v>
      </c>
      <c r="C35">
        <v>3</v>
      </c>
      <c r="D35">
        <v>88</v>
      </c>
      <c r="E35">
        <v>2</v>
      </c>
    </row>
    <row r="36" spans="1:5" x14ac:dyDescent="0.25">
      <c r="A36" t="s">
        <v>69</v>
      </c>
      <c r="B36">
        <v>97</v>
      </c>
      <c r="C36">
        <v>8</v>
      </c>
      <c r="D36">
        <v>38</v>
      </c>
      <c r="E36">
        <v>23</v>
      </c>
    </row>
    <row r="37" spans="1:5" x14ac:dyDescent="0.25">
      <c r="A37" t="s">
        <v>70</v>
      </c>
      <c r="B37">
        <v>98</v>
      </c>
      <c r="C37">
        <v>4</v>
      </c>
      <c r="D37">
        <v>8</v>
      </c>
      <c r="E37">
        <v>16</v>
      </c>
    </row>
    <row r="38" spans="1:5" x14ac:dyDescent="0.25">
      <c r="A38" t="s">
        <v>74</v>
      </c>
      <c r="B38">
        <v>92</v>
      </c>
      <c r="C38">
        <v>7</v>
      </c>
      <c r="D38">
        <v>7</v>
      </c>
      <c r="E38">
        <v>5</v>
      </c>
    </row>
    <row r="39" spans="1:5" x14ac:dyDescent="0.25">
      <c r="A39" t="s">
        <v>79</v>
      </c>
      <c r="B39">
        <v>88</v>
      </c>
      <c r="C39">
        <v>5</v>
      </c>
      <c r="D39">
        <v>25</v>
      </c>
      <c r="E39">
        <v>5</v>
      </c>
    </row>
    <row r="40" spans="1:5" x14ac:dyDescent="0.25">
      <c r="A40" t="s">
        <v>80</v>
      </c>
      <c r="B40">
        <v>80</v>
      </c>
      <c r="C40">
        <v>2</v>
      </c>
      <c r="D40">
        <v>56</v>
      </c>
      <c r="E40">
        <v>56</v>
      </c>
    </row>
    <row r="41" spans="1:5" x14ac:dyDescent="0.25">
      <c r="A41" t="s">
        <v>86</v>
      </c>
      <c r="B41">
        <v>98</v>
      </c>
      <c r="C41">
        <v>2</v>
      </c>
      <c r="D41">
        <v>3</v>
      </c>
      <c r="E41">
        <v>1</v>
      </c>
    </row>
    <row r="42" spans="1:5" x14ac:dyDescent="0.25">
      <c r="A42" t="s">
        <v>92</v>
      </c>
      <c r="B42">
        <v>84</v>
      </c>
      <c r="C42">
        <v>5</v>
      </c>
      <c r="D42">
        <v>6</v>
      </c>
      <c r="E42">
        <v>0</v>
      </c>
    </row>
    <row r="43" spans="1:5" x14ac:dyDescent="0.25">
      <c r="A43" t="s">
        <v>93</v>
      </c>
      <c r="B43">
        <v>83</v>
      </c>
      <c r="C43">
        <v>4</v>
      </c>
      <c r="D43">
        <v>7</v>
      </c>
      <c r="E43">
        <v>4</v>
      </c>
    </row>
    <row r="44" spans="1:5" x14ac:dyDescent="0.25">
      <c r="A44" t="s">
        <v>110</v>
      </c>
      <c r="B44">
        <v>93</v>
      </c>
      <c r="C44">
        <v>0</v>
      </c>
      <c r="D44">
        <v>0</v>
      </c>
      <c r="E44">
        <v>0</v>
      </c>
    </row>
    <row r="45" spans="1:5" x14ac:dyDescent="0.25">
      <c r="A45" t="s">
        <v>120</v>
      </c>
      <c r="B45">
        <v>89</v>
      </c>
      <c r="C45">
        <v>5</v>
      </c>
      <c r="D45">
        <v>5</v>
      </c>
      <c r="E45">
        <v>15</v>
      </c>
    </row>
    <row r="46" spans="1:5" x14ac:dyDescent="0.25">
      <c r="A46" t="s">
        <v>125</v>
      </c>
      <c r="B46">
        <v>100</v>
      </c>
      <c r="C46">
        <v>2</v>
      </c>
      <c r="D46">
        <v>1</v>
      </c>
      <c r="E46">
        <v>1</v>
      </c>
    </row>
    <row r="47" spans="1:5" x14ac:dyDescent="0.25">
      <c r="A47" t="s">
        <v>130</v>
      </c>
      <c r="B47">
        <v>94</v>
      </c>
      <c r="C47">
        <v>3</v>
      </c>
      <c r="D47">
        <v>4</v>
      </c>
      <c r="E47">
        <v>4</v>
      </c>
    </row>
    <row r="48" spans="1:5" x14ac:dyDescent="0.25">
      <c r="A48" t="s">
        <v>145</v>
      </c>
      <c r="B48">
        <v>80</v>
      </c>
      <c r="C48">
        <v>7</v>
      </c>
      <c r="D48">
        <v>85</v>
      </c>
      <c r="E48">
        <v>9</v>
      </c>
    </row>
    <row r="49" spans="1:5" x14ac:dyDescent="0.25">
      <c r="A49" t="s">
        <v>144</v>
      </c>
      <c r="B49">
        <v>82</v>
      </c>
      <c r="C49">
        <v>8</v>
      </c>
      <c r="D49">
        <v>13</v>
      </c>
      <c r="E49">
        <v>6</v>
      </c>
    </row>
    <row r="50" spans="1:5" x14ac:dyDescent="0.25">
      <c r="A50" t="s">
        <v>132</v>
      </c>
      <c r="B50">
        <v>93</v>
      </c>
      <c r="C50">
        <v>6</v>
      </c>
      <c r="D50">
        <v>7</v>
      </c>
      <c r="E50">
        <v>8</v>
      </c>
    </row>
    <row r="51" spans="1:5" x14ac:dyDescent="0.25">
      <c r="A51" t="s">
        <v>146</v>
      </c>
      <c r="B51">
        <v>75</v>
      </c>
      <c r="C51">
        <v>5</v>
      </c>
      <c r="D51">
        <v>62</v>
      </c>
      <c r="E51">
        <v>36</v>
      </c>
    </row>
    <row r="52" spans="1:5" x14ac:dyDescent="0.25">
      <c r="A52" t="s">
        <v>147</v>
      </c>
      <c r="B52">
        <v>78</v>
      </c>
      <c r="C52">
        <v>2</v>
      </c>
      <c r="D52">
        <v>82</v>
      </c>
      <c r="E52">
        <v>15</v>
      </c>
    </row>
    <row r="53" spans="1:5" x14ac:dyDescent="0.25">
      <c r="A53" t="s">
        <v>155</v>
      </c>
      <c r="B53">
        <v>99</v>
      </c>
      <c r="C53">
        <v>0</v>
      </c>
      <c r="D53">
        <v>21</v>
      </c>
      <c r="E53">
        <v>0</v>
      </c>
    </row>
    <row r="54" spans="1:5" x14ac:dyDescent="0.25">
      <c r="A54" t="s">
        <v>158</v>
      </c>
      <c r="B54">
        <v>94</v>
      </c>
      <c r="C54">
        <v>3</v>
      </c>
      <c r="D54">
        <v>2</v>
      </c>
      <c r="E54">
        <v>3</v>
      </c>
    </row>
    <row r="55" spans="1:5" x14ac:dyDescent="0.25">
      <c r="A55" t="s">
        <v>162</v>
      </c>
      <c r="B55">
        <v>90</v>
      </c>
      <c r="C55">
        <v>6</v>
      </c>
      <c r="D55">
        <v>4</v>
      </c>
      <c r="E55">
        <v>7</v>
      </c>
    </row>
    <row r="56" spans="1:5" x14ac:dyDescent="0.25">
      <c r="A56" t="s">
        <v>160</v>
      </c>
      <c r="B56">
        <v>93</v>
      </c>
      <c r="C56">
        <v>16</v>
      </c>
      <c r="D56">
        <v>11</v>
      </c>
      <c r="E56">
        <v>2</v>
      </c>
    </row>
    <row r="57" spans="1:5" x14ac:dyDescent="0.25">
      <c r="A57" t="s">
        <v>173</v>
      </c>
      <c r="B57">
        <v>95</v>
      </c>
      <c r="C57">
        <v>23</v>
      </c>
      <c r="D57">
        <v>1</v>
      </c>
      <c r="E57">
        <v>13</v>
      </c>
    </row>
    <row r="58" spans="1:5" x14ac:dyDescent="0.25">
      <c r="A58" t="s">
        <v>174</v>
      </c>
      <c r="B58">
        <v>75</v>
      </c>
      <c r="C58">
        <v>1</v>
      </c>
      <c r="D58">
        <v>54</v>
      </c>
      <c r="E58">
        <v>1</v>
      </c>
    </row>
    <row r="59" spans="1:5" x14ac:dyDescent="0.25">
      <c r="A59" t="s">
        <v>175</v>
      </c>
      <c r="B59">
        <v>77</v>
      </c>
      <c r="C59">
        <v>53</v>
      </c>
      <c r="D59">
        <v>37</v>
      </c>
      <c r="E59">
        <v>25</v>
      </c>
    </row>
    <row r="60" spans="1:5" x14ac:dyDescent="0.25">
      <c r="A60" t="s">
        <v>187</v>
      </c>
      <c r="B60">
        <v>70</v>
      </c>
      <c r="C60">
        <v>29</v>
      </c>
      <c r="D60">
        <v>34</v>
      </c>
      <c r="E60">
        <v>21</v>
      </c>
    </row>
    <row r="61" spans="1:5" x14ac:dyDescent="0.25">
      <c r="A61" t="s">
        <v>186</v>
      </c>
      <c r="B61">
        <v>97</v>
      </c>
      <c r="C61">
        <v>3</v>
      </c>
      <c r="D61">
        <v>2</v>
      </c>
      <c r="E61">
        <v>14</v>
      </c>
    </row>
    <row r="63" spans="1:5" x14ac:dyDescent="0.25">
      <c r="A63" s="25"/>
      <c r="B63" s="39"/>
      <c r="C63" s="37"/>
      <c r="D63" s="37"/>
      <c r="E63" s="37"/>
    </row>
    <row r="65" spans="1:5" x14ac:dyDescent="0.25">
      <c r="A65" s="25"/>
      <c r="B65" s="12"/>
      <c r="C65" s="12"/>
      <c r="D65" s="12"/>
      <c r="E65" s="12"/>
    </row>
    <row r="66" spans="1:5" x14ac:dyDescent="0.25">
      <c r="A66" s="25"/>
      <c r="B66" s="12"/>
      <c r="C66" s="12"/>
      <c r="D66" s="12"/>
      <c r="E66" s="12"/>
    </row>
    <row r="67" spans="1:5" x14ac:dyDescent="0.25">
      <c r="B67" s="25"/>
      <c r="C67" s="25"/>
      <c r="D67" s="25"/>
      <c r="E67" s="25"/>
    </row>
    <row r="68" spans="1:5" x14ac:dyDescent="0.25">
      <c r="A68" s="25"/>
      <c r="B68" s="12"/>
      <c r="C68" s="12"/>
      <c r="D68" s="12"/>
      <c r="E68" s="12"/>
    </row>
    <row r="69" spans="1:5" x14ac:dyDescent="0.25">
      <c r="A69" s="25"/>
      <c r="B69" s="12"/>
      <c r="C69" s="12"/>
      <c r="D69" s="12"/>
      <c r="E69" s="12"/>
    </row>
    <row r="70" spans="1:5" x14ac:dyDescent="0.25">
      <c r="B70" s="25"/>
      <c r="C70" s="25"/>
      <c r="D70" s="25"/>
      <c r="E70" s="25"/>
    </row>
    <row r="71" spans="1:5" x14ac:dyDescent="0.25">
      <c r="A71" s="25"/>
      <c r="B71" s="25"/>
      <c r="C71" s="25"/>
      <c r="D71" s="25"/>
      <c r="E71" s="25"/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6"/>
  <sheetViews>
    <sheetView zoomScale="55" zoomScaleNormal="55" workbookViewId="0">
      <selection activeCell="O48" sqref="O48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74</v>
      </c>
      <c r="C2">
        <v>65</v>
      </c>
      <c r="E2">
        <f>C2-B2</f>
        <v>-9</v>
      </c>
    </row>
    <row r="3" spans="1:5" x14ac:dyDescent="0.25">
      <c r="A3" t="s">
        <v>13</v>
      </c>
      <c r="B3">
        <v>76</v>
      </c>
      <c r="C3">
        <v>84</v>
      </c>
      <c r="E3">
        <f t="shared" ref="E3:E61" si="0">C3-B3</f>
        <v>8</v>
      </c>
    </row>
    <row r="4" spans="1:5" x14ac:dyDescent="0.25">
      <c r="A4" t="s">
        <v>68</v>
      </c>
      <c r="B4">
        <v>136</v>
      </c>
      <c r="C4">
        <v>121</v>
      </c>
      <c r="E4">
        <f t="shared" si="0"/>
        <v>-15</v>
      </c>
    </row>
    <row r="5" spans="1:5" x14ac:dyDescent="0.25">
      <c r="A5" t="s">
        <v>69</v>
      </c>
      <c r="B5">
        <v>94</v>
      </c>
      <c r="C5">
        <v>84</v>
      </c>
      <c r="E5">
        <f t="shared" si="0"/>
        <v>-10</v>
      </c>
    </row>
    <row r="6" spans="1:5" x14ac:dyDescent="0.25">
      <c r="A6" t="s">
        <v>70</v>
      </c>
      <c r="B6">
        <v>92</v>
      </c>
      <c r="C6">
        <v>96</v>
      </c>
      <c r="E6">
        <f t="shared" si="0"/>
        <v>4</v>
      </c>
    </row>
    <row r="7" spans="1:5" x14ac:dyDescent="0.25">
      <c r="A7" t="s">
        <v>74</v>
      </c>
      <c r="B7">
        <v>143</v>
      </c>
      <c r="C7">
        <v>131</v>
      </c>
      <c r="E7">
        <f t="shared" si="0"/>
        <v>-12</v>
      </c>
    </row>
    <row r="8" spans="1:5" x14ac:dyDescent="0.25">
      <c r="A8" t="s">
        <v>79</v>
      </c>
      <c r="B8">
        <v>123</v>
      </c>
      <c r="C8">
        <v>156</v>
      </c>
      <c r="E8">
        <f t="shared" si="0"/>
        <v>33</v>
      </c>
    </row>
    <row r="9" spans="1:5" x14ac:dyDescent="0.25">
      <c r="A9" t="s">
        <v>80</v>
      </c>
      <c r="B9">
        <v>102</v>
      </c>
      <c r="C9">
        <v>108</v>
      </c>
      <c r="E9">
        <f t="shared" si="0"/>
        <v>6</v>
      </c>
    </row>
    <row r="10" spans="1:5" x14ac:dyDescent="0.25">
      <c r="A10" t="s">
        <v>86</v>
      </c>
      <c r="B10">
        <v>143</v>
      </c>
      <c r="C10">
        <v>147</v>
      </c>
      <c r="E10">
        <f t="shared" si="0"/>
        <v>4</v>
      </c>
    </row>
    <row r="11" spans="1:5" x14ac:dyDescent="0.25">
      <c r="A11" t="s">
        <v>92</v>
      </c>
      <c r="B11">
        <v>133</v>
      </c>
      <c r="C11">
        <v>122</v>
      </c>
      <c r="E11">
        <f t="shared" si="0"/>
        <v>-11</v>
      </c>
    </row>
    <row r="12" spans="1:5" x14ac:dyDescent="0.25">
      <c r="A12" t="s">
        <v>93</v>
      </c>
      <c r="B12">
        <v>132</v>
      </c>
      <c r="C12">
        <v>112</v>
      </c>
      <c r="E12">
        <f t="shared" si="0"/>
        <v>-20</v>
      </c>
    </row>
    <row r="13" spans="1:5" x14ac:dyDescent="0.25">
      <c r="A13" t="s">
        <v>110</v>
      </c>
      <c r="B13">
        <v>123</v>
      </c>
      <c r="C13">
        <v>119</v>
      </c>
      <c r="E13">
        <f t="shared" si="0"/>
        <v>-4</v>
      </c>
    </row>
    <row r="14" spans="1:5" x14ac:dyDescent="0.25">
      <c r="A14" t="s">
        <v>120</v>
      </c>
      <c r="B14">
        <v>142</v>
      </c>
      <c r="C14">
        <v>162</v>
      </c>
      <c r="E14">
        <f t="shared" si="0"/>
        <v>20</v>
      </c>
    </row>
    <row r="15" spans="1:5" x14ac:dyDescent="0.25">
      <c r="A15" t="s">
        <v>125</v>
      </c>
      <c r="B15">
        <v>96</v>
      </c>
      <c r="C15">
        <v>95</v>
      </c>
      <c r="E15">
        <f t="shared" si="0"/>
        <v>-1</v>
      </c>
    </row>
    <row r="16" spans="1:5" x14ac:dyDescent="0.25">
      <c r="A16" t="s">
        <v>130</v>
      </c>
      <c r="B16">
        <v>105</v>
      </c>
      <c r="C16">
        <v>99</v>
      </c>
      <c r="E16">
        <f t="shared" si="0"/>
        <v>-6</v>
      </c>
    </row>
    <row r="17" spans="1:5" x14ac:dyDescent="0.25">
      <c r="A17" t="s">
        <v>145</v>
      </c>
      <c r="B17">
        <v>137</v>
      </c>
      <c r="C17">
        <v>131</v>
      </c>
      <c r="E17">
        <f t="shared" si="0"/>
        <v>-6</v>
      </c>
    </row>
    <row r="18" spans="1:5" x14ac:dyDescent="0.25">
      <c r="A18" t="s">
        <v>144</v>
      </c>
      <c r="B18">
        <v>158</v>
      </c>
      <c r="C18">
        <v>163</v>
      </c>
      <c r="E18">
        <f t="shared" si="0"/>
        <v>5</v>
      </c>
    </row>
    <row r="19" spans="1:5" x14ac:dyDescent="0.25">
      <c r="A19" t="s">
        <v>132</v>
      </c>
      <c r="B19">
        <v>151</v>
      </c>
      <c r="C19">
        <v>163</v>
      </c>
      <c r="E19">
        <f t="shared" si="0"/>
        <v>12</v>
      </c>
    </row>
    <row r="20" spans="1:5" x14ac:dyDescent="0.25">
      <c r="A20" t="s">
        <v>146</v>
      </c>
      <c r="B20">
        <v>70</v>
      </c>
      <c r="C20">
        <v>81</v>
      </c>
      <c r="E20">
        <f t="shared" si="0"/>
        <v>11</v>
      </c>
    </row>
    <row r="21" spans="1:5" x14ac:dyDescent="0.25">
      <c r="A21" t="s">
        <v>147</v>
      </c>
      <c r="B21">
        <v>113</v>
      </c>
      <c r="C21">
        <v>113</v>
      </c>
      <c r="E21">
        <f t="shared" si="0"/>
        <v>0</v>
      </c>
    </row>
    <row r="22" spans="1:5" x14ac:dyDescent="0.25">
      <c r="A22" t="s">
        <v>155</v>
      </c>
      <c r="B22">
        <v>185</v>
      </c>
      <c r="C22">
        <v>169</v>
      </c>
      <c r="E22">
        <f t="shared" si="0"/>
        <v>-16</v>
      </c>
    </row>
    <row r="23" spans="1:5" x14ac:dyDescent="0.25">
      <c r="A23" t="s">
        <v>158</v>
      </c>
      <c r="B23">
        <v>112</v>
      </c>
      <c r="C23">
        <v>104</v>
      </c>
      <c r="E23">
        <f t="shared" si="0"/>
        <v>-8</v>
      </c>
    </row>
    <row r="24" spans="1:5" x14ac:dyDescent="0.25">
      <c r="A24" t="s">
        <v>162</v>
      </c>
      <c r="B24">
        <v>141</v>
      </c>
      <c r="C24">
        <v>129</v>
      </c>
      <c r="E24">
        <f t="shared" si="0"/>
        <v>-12</v>
      </c>
    </row>
    <row r="25" spans="1:5" x14ac:dyDescent="0.25">
      <c r="A25" t="s">
        <v>160</v>
      </c>
      <c r="B25">
        <v>67</v>
      </c>
      <c r="C25">
        <v>59</v>
      </c>
      <c r="E25">
        <f t="shared" si="0"/>
        <v>-8</v>
      </c>
    </row>
    <row r="26" spans="1:5" x14ac:dyDescent="0.25">
      <c r="A26" t="s">
        <v>173</v>
      </c>
      <c r="B26">
        <v>70</v>
      </c>
      <c r="C26">
        <v>68</v>
      </c>
      <c r="E26">
        <f t="shared" si="0"/>
        <v>-2</v>
      </c>
    </row>
    <row r="27" spans="1:5" x14ac:dyDescent="0.25">
      <c r="A27" t="s">
        <v>174</v>
      </c>
      <c r="B27">
        <v>92</v>
      </c>
      <c r="C27">
        <v>104</v>
      </c>
      <c r="E27">
        <f t="shared" si="0"/>
        <v>12</v>
      </c>
    </row>
    <row r="28" spans="1:5" x14ac:dyDescent="0.25">
      <c r="A28" t="s">
        <v>175</v>
      </c>
      <c r="B28">
        <v>140</v>
      </c>
      <c r="C28">
        <v>136</v>
      </c>
      <c r="E28">
        <f t="shared" si="0"/>
        <v>-4</v>
      </c>
    </row>
    <row r="29" spans="1:5" x14ac:dyDescent="0.25">
      <c r="A29" t="s">
        <v>187</v>
      </c>
      <c r="B29">
        <v>105</v>
      </c>
      <c r="C29">
        <v>100</v>
      </c>
      <c r="E29">
        <f t="shared" si="0"/>
        <v>-5</v>
      </c>
    </row>
    <row r="30" spans="1:5" x14ac:dyDescent="0.25">
      <c r="A30" t="s">
        <v>186</v>
      </c>
      <c r="B30">
        <v>122</v>
      </c>
      <c r="C30">
        <v>125</v>
      </c>
      <c r="E30">
        <f t="shared" si="0"/>
        <v>3</v>
      </c>
    </row>
    <row r="32" spans="1:5" s="25" customFormat="1" x14ac:dyDescent="0.25">
      <c r="A32" s="25" t="s">
        <v>1</v>
      </c>
      <c r="E32"/>
    </row>
    <row r="33" spans="1:6" x14ac:dyDescent="0.25">
      <c r="A33" t="s">
        <v>3</v>
      </c>
      <c r="B33">
        <v>59</v>
      </c>
      <c r="C33">
        <v>59</v>
      </c>
      <c r="E33">
        <f t="shared" si="0"/>
        <v>0</v>
      </c>
    </row>
    <row r="34" spans="1:6" x14ac:dyDescent="0.25">
      <c r="A34" t="s">
        <v>13</v>
      </c>
      <c r="B34">
        <v>108</v>
      </c>
      <c r="C34">
        <v>99</v>
      </c>
      <c r="E34">
        <f t="shared" si="0"/>
        <v>-9</v>
      </c>
    </row>
    <row r="35" spans="1:6" x14ac:dyDescent="0.25">
      <c r="A35" t="s">
        <v>68</v>
      </c>
      <c r="B35">
        <v>117</v>
      </c>
      <c r="C35">
        <v>113</v>
      </c>
      <c r="E35">
        <f t="shared" si="0"/>
        <v>-4</v>
      </c>
    </row>
    <row r="36" spans="1:6" x14ac:dyDescent="0.25">
      <c r="A36" t="s">
        <v>69</v>
      </c>
      <c r="B36">
        <v>87</v>
      </c>
      <c r="C36">
        <v>89</v>
      </c>
      <c r="E36">
        <f t="shared" si="0"/>
        <v>2</v>
      </c>
    </row>
    <row r="37" spans="1:6" x14ac:dyDescent="0.25">
      <c r="A37" t="s">
        <v>70</v>
      </c>
      <c r="B37">
        <v>112</v>
      </c>
      <c r="C37">
        <v>104</v>
      </c>
      <c r="E37">
        <f t="shared" si="0"/>
        <v>-8</v>
      </c>
    </row>
    <row r="38" spans="1:6" x14ac:dyDescent="0.25">
      <c r="A38" t="s">
        <v>74</v>
      </c>
      <c r="B38">
        <v>122</v>
      </c>
      <c r="C38">
        <v>134</v>
      </c>
      <c r="E38">
        <f t="shared" si="0"/>
        <v>12</v>
      </c>
    </row>
    <row r="39" spans="1:6" x14ac:dyDescent="0.25">
      <c r="A39" t="s">
        <v>79</v>
      </c>
      <c r="B39">
        <v>194</v>
      </c>
      <c r="C39">
        <v>164</v>
      </c>
      <c r="E39">
        <f t="shared" si="0"/>
        <v>-30</v>
      </c>
    </row>
    <row r="40" spans="1:6" x14ac:dyDescent="0.25">
      <c r="A40" t="s">
        <v>80</v>
      </c>
      <c r="B40">
        <v>131</v>
      </c>
      <c r="F40" t="s">
        <v>276</v>
      </c>
    </row>
    <row r="41" spans="1:6" x14ac:dyDescent="0.25">
      <c r="A41" t="s">
        <v>86</v>
      </c>
      <c r="B41">
        <v>139</v>
      </c>
      <c r="C41">
        <v>143</v>
      </c>
      <c r="E41">
        <f t="shared" si="0"/>
        <v>4</v>
      </c>
    </row>
    <row r="42" spans="1:6" x14ac:dyDescent="0.25">
      <c r="A42" t="s">
        <v>92</v>
      </c>
      <c r="B42">
        <v>128</v>
      </c>
      <c r="C42">
        <v>141</v>
      </c>
      <c r="E42">
        <f t="shared" si="0"/>
        <v>13</v>
      </c>
    </row>
    <row r="43" spans="1:6" x14ac:dyDescent="0.25">
      <c r="A43" t="s">
        <v>93</v>
      </c>
      <c r="B43">
        <v>120</v>
      </c>
      <c r="C43">
        <v>118</v>
      </c>
      <c r="E43">
        <f t="shared" si="0"/>
        <v>-2</v>
      </c>
    </row>
    <row r="44" spans="1:6" x14ac:dyDescent="0.25">
      <c r="A44" t="s">
        <v>110</v>
      </c>
      <c r="B44">
        <v>102</v>
      </c>
      <c r="C44">
        <v>96</v>
      </c>
      <c r="E44">
        <f t="shared" si="0"/>
        <v>-6</v>
      </c>
    </row>
    <row r="45" spans="1:6" x14ac:dyDescent="0.25">
      <c r="A45" t="s">
        <v>120</v>
      </c>
      <c r="B45">
        <v>152</v>
      </c>
      <c r="C45">
        <v>148</v>
      </c>
      <c r="E45">
        <f t="shared" si="0"/>
        <v>-4</v>
      </c>
    </row>
    <row r="46" spans="1:6" x14ac:dyDescent="0.25">
      <c r="A46" t="s">
        <v>125</v>
      </c>
      <c r="B46">
        <v>121</v>
      </c>
      <c r="C46">
        <v>92</v>
      </c>
      <c r="E46">
        <f t="shared" si="0"/>
        <v>-29</v>
      </c>
    </row>
    <row r="47" spans="1:6" x14ac:dyDescent="0.25">
      <c r="A47" t="s">
        <v>130</v>
      </c>
      <c r="B47">
        <v>105</v>
      </c>
      <c r="C47">
        <v>108</v>
      </c>
      <c r="E47">
        <f t="shared" si="0"/>
        <v>3</v>
      </c>
    </row>
    <row r="48" spans="1:6" x14ac:dyDescent="0.25">
      <c r="A48" t="s">
        <v>145</v>
      </c>
      <c r="B48">
        <v>146</v>
      </c>
      <c r="C48">
        <v>136</v>
      </c>
      <c r="E48">
        <f t="shared" si="0"/>
        <v>-10</v>
      </c>
    </row>
    <row r="49" spans="1:5" x14ac:dyDescent="0.25">
      <c r="A49" t="s">
        <v>144</v>
      </c>
      <c r="B49">
        <v>152</v>
      </c>
      <c r="C49">
        <f>155-4</f>
        <v>151</v>
      </c>
      <c r="E49">
        <f t="shared" si="0"/>
        <v>-1</v>
      </c>
    </row>
    <row r="50" spans="1:5" x14ac:dyDescent="0.25">
      <c r="A50" t="s">
        <v>132</v>
      </c>
      <c r="B50">
        <v>147</v>
      </c>
      <c r="C50">
        <v>151</v>
      </c>
      <c r="E50">
        <f t="shared" si="0"/>
        <v>4</v>
      </c>
    </row>
    <row r="51" spans="1:5" x14ac:dyDescent="0.25">
      <c r="A51" t="s">
        <v>146</v>
      </c>
      <c r="B51">
        <v>73</v>
      </c>
      <c r="C51">
        <v>75</v>
      </c>
      <c r="E51">
        <f t="shared" si="0"/>
        <v>2</v>
      </c>
    </row>
    <row r="52" spans="1:5" x14ac:dyDescent="0.25">
      <c r="A52" t="s">
        <v>147</v>
      </c>
      <c r="B52">
        <v>117</v>
      </c>
      <c r="C52">
        <v>138</v>
      </c>
      <c r="E52">
        <f t="shared" si="0"/>
        <v>21</v>
      </c>
    </row>
    <row r="53" spans="1:5" x14ac:dyDescent="0.25">
      <c r="A53" t="s">
        <v>155</v>
      </c>
      <c r="B53">
        <v>173</v>
      </c>
      <c r="C53">
        <v>150</v>
      </c>
      <c r="E53">
        <f t="shared" si="0"/>
        <v>-23</v>
      </c>
    </row>
    <row r="54" spans="1:5" x14ac:dyDescent="0.25">
      <c r="A54" t="s">
        <v>158</v>
      </c>
      <c r="B54">
        <f>92-3</f>
        <v>89</v>
      </c>
      <c r="C54">
        <v>97</v>
      </c>
      <c r="E54">
        <f t="shared" si="0"/>
        <v>8</v>
      </c>
    </row>
    <row r="55" spans="1:5" x14ac:dyDescent="0.25">
      <c r="A55" t="s">
        <v>162</v>
      </c>
      <c r="B55">
        <v>148</v>
      </c>
      <c r="C55">
        <v>140</v>
      </c>
      <c r="E55">
        <f t="shared" si="0"/>
        <v>-8</v>
      </c>
    </row>
    <row r="56" spans="1:5" x14ac:dyDescent="0.25">
      <c r="A56" t="s">
        <v>160</v>
      </c>
      <c r="B56">
        <v>43</v>
      </c>
      <c r="C56">
        <v>42</v>
      </c>
      <c r="E56">
        <f t="shared" si="0"/>
        <v>-1</v>
      </c>
    </row>
    <row r="57" spans="1:5" x14ac:dyDescent="0.25">
      <c r="A57" t="s">
        <v>173</v>
      </c>
      <c r="B57">
        <v>61</v>
      </c>
      <c r="C57">
        <v>57</v>
      </c>
      <c r="E57">
        <f t="shared" si="0"/>
        <v>-4</v>
      </c>
    </row>
    <row r="58" spans="1:5" x14ac:dyDescent="0.25">
      <c r="A58" t="s">
        <v>174</v>
      </c>
      <c r="B58">
        <v>103</v>
      </c>
      <c r="C58">
        <v>95</v>
      </c>
      <c r="E58">
        <f t="shared" si="0"/>
        <v>-8</v>
      </c>
    </row>
    <row r="59" spans="1:5" x14ac:dyDescent="0.25">
      <c r="A59" t="s">
        <v>175</v>
      </c>
      <c r="B59">
        <v>146</v>
      </c>
      <c r="C59">
        <v>142</v>
      </c>
      <c r="E59">
        <f t="shared" si="0"/>
        <v>-4</v>
      </c>
    </row>
    <row r="60" spans="1:5" x14ac:dyDescent="0.25">
      <c r="A60" t="s">
        <v>187</v>
      </c>
      <c r="B60">
        <v>94</v>
      </c>
      <c r="C60">
        <v>109</v>
      </c>
      <c r="E60">
        <f t="shared" si="0"/>
        <v>15</v>
      </c>
    </row>
    <row r="61" spans="1:5" x14ac:dyDescent="0.25">
      <c r="A61" t="s">
        <v>186</v>
      </c>
      <c r="B61">
        <v>116</v>
      </c>
      <c r="C61">
        <v>120</v>
      </c>
      <c r="E61">
        <f t="shared" si="0"/>
        <v>4</v>
      </c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6"/>
  <sheetViews>
    <sheetView zoomScale="55" zoomScaleNormal="55" workbookViewId="0">
      <selection activeCell="L44" sqref="L44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33</v>
      </c>
      <c r="C2">
        <v>27</v>
      </c>
      <c r="E2">
        <f>C2-B2</f>
        <v>-6</v>
      </c>
    </row>
    <row r="3" spans="1:5" x14ac:dyDescent="0.25">
      <c r="A3" t="s">
        <v>13</v>
      </c>
      <c r="B3">
        <v>21</v>
      </c>
      <c r="C3">
        <v>31</v>
      </c>
      <c r="E3">
        <f t="shared" ref="E3:E61" si="0">C3-B3</f>
        <v>10</v>
      </c>
    </row>
    <row r="4" spans="1:5" x14ac:dyDescent="0.25">
      <c r="A4" t="s">
        <v>68</v>
      </c>
      <c r="B4">
        <v>45</v>
      </c>
      <c r="C4">
        <v>52</v>
      </c>
      <c r="E4">
        <f t="shared" si="0"/>
        <v>7</v>
      </c>
    </row>
    <row r="5" spans="1:5" x14ac:dyDescent="0.25">
      <c r="A5" t="s">
        <v>69</v>
      </c>
      <c r="B5" s="4">
        <v>44</v>
      </c>
      <c r="C5">
        <v>50</v>
      </c>
      <c r="E5">
        <f t="shared" si="0"/>
        <v>6</v>
      </c>
    </row>
    <row r="6" spans="1:5" x14ac:dyDescent="0.25">
      <c r="A6" t="s">
        <v>70</v>
      </c>
      <c r="B6" s="4">
        <v>47</v>
      </c>
      <c r="C6">
        <v>42</v>
      </c>
      <c r="E6">
        <f t="shared" si="0"/>
        <v>-5</v>
      </c>
    </row>
    <row r="7" spans="1:5" x14ac:dyDescent="0.25">
      <c r="A7" t="s">
        <v>74</v>
      </c>
      <c r="B7">
        <v>43</v>
      </c>
      <c r="C7">
        <v>40</v>
      </c>
      <c r="E7">
        <f t="shared" si="0"/>
        <v>-3</v>
      </c>
    </row>
    <row r="8" spans="1:5" x14ac:dyDescent="0.25">
      <c r="A8" t="s">
        <v>79</v>
      </c>
      <c r="B8">
        <v>57</v>
      </c>
      <c r="C8">
        <v>59</v>
      </c>
      <c r="E8">
        <f t="shared" si="0"/>
        <v>2</v>
      </c>
    </row>
    <row r="9" spans="1:5" x14ac:dyDescent="0.25">
      <c r="A9" t="s">
        <v>80</v>
      </c>
      <c r="B9">
        <v>40</v>
      </c>
      <c r="C9">
        <v>35</v>
      </c>
      <c r="E9">
        <f t="shared" si="0"/>
        <v>-5</v>
      </c>
    </row>
    <row r="10" spans="1:5" x14ac:dyDescent="0.25">
      <c r="A10" t="s">
        <v>86</v>
      </c>
      <c r="B10">
        <v>52</v>
      </c>
      <c r="C10">
        <v>60</v>
      </c>
      <c r="E10">
        <f t="shared" si="0"/>
        <v>8</v>
      </c>
    </row>
    <row r="11" spans="1:5" x14ac:dyDescent="0.25">
      <c r="A11" t="s">
        <v>92</v>
      </c>
      <c r="B11">
        <v>55</v>
      </c>
      <c r="C11">
        <v>57</v>
      </c>
      <c r="E11">
        <f t="shared" si="0"/>
        <v>2</v>
      </c>
    </row>
    <row r="12" spans="1:5" x14ac:dyDescent="0.25">
      <c r="A12" t="s">
        <v>93</v>
      </c>
      <c r="B12">
        <v>41</v>
      </c>
      <c r="C12">
        <v>42</v>
      </c>
      <c r="E12">
        <f t="shared" si="0"/>
        <v>1</v>
      </c>
    </row>
    <row r="13" spans="1:5" x14ac:dyDescent="0.25">
      <c r="A13" t="s">
        <v>110</v>
      </c>
      <c r="B13">
        <v>55</v>
      </c>
      <c r="C13">
        <v>32</v>
      </c>
      <c r="E13">
        <f t="shared" si="0"/>
        <v>-23</v>
      </c>
    </row>
    <row r="14" spans="1:5" x14ac:dyDescent="0.25">
      <c r="A14" t="s">
        <v>120</v>
      </c>
      <c r="B14">
        <v>49</v>
      </c>
      <c r="C14">
        <v>55</v>
      </c>
      <c r="E14">
        <f t="shared" si="0"/>
        <v>6</v>
      </c>
    </row>
    <row r="15" spans="1:5" x14ac:dyDescent="0.25">
      <c r="A15" t="s">
        <v>125</v>
      </c>
      <c r="B15">
        <v>34</v>
      </c>
      <c r="C15">
        <v>22</v>
      </c>
      <c r="E15">
        <f t="shared" si="0"/>
        <v>-12</v>
      </c>
    </row>
    <row r="16" spans="1:5" x14ac:dyDescent="0.25">
      <c r="A16" t="s">
        <v>130</v>
      </c>
      <c r="B16">
        <v>51</v>
      </c>
      <c r="C16">
        <v>46</v>
      </c>
      <c r="E16">
        <f t="shared" si="0"/>
        <v>-5</v>
      </c>
    </row>
    <row r="17" spans="1:5" x14ac:dyDescent="0.25">
      <c r="A17" t="s">
        <v>145</v>
      </c>
      <c r="B17">
        <v>31</v>
      </c>
      <c r="C17">
        <v>37</v>
      </c>
      <c r="E17">
        <f t="shared" si="0"/>
        <v>6</v>
      </c>
    </row>
    <row r="18" spans="1:5" x14ac:dyDescent="0.25">
      <c r="A18" t="s">
        <v>144</v>
      </c>
      <c r="B18">
        <v>57</v>
      </c>
      <c r="C18">
        <v>40</v>
      </c>
      <c r="E18">
        <f t="shared" si="0"/>
        <v>-17</v>
      </c>
    </row>
    <row r="19" spans="1:5" x14ac:dyDescent="0.25">
      <c r="A19" t="s">
        <v>132</v>
      </c>
      <c r="B19">
        <v>49</v>
      </c>
      <c r="C19">
        <v>60</v>
      </c>
      <c r="E19">
        <f t="shared" si="0"/>
        <v>11</v>
      </c>
    </row>
    <row r="20" spans="1:5" x14ac:dyDescent="0.25">
      <c r="A20" t="s">
        <v>146</v>
      </c>
      <c r="B20">
        <v>27</v>
      </c>
      <c r="C20">
        <v>31</v>
      </c>
      <c r="E20">
        <f t="shared" si="0"/>
        <v>4</v>
      </c>
    </row>
    <row r="21" spans="1:5" x14ac:dyDescent="0.25">
      <c r="A21" t="s">
        <v>147</v>
      </c>
      <c r="B21">
        <v>46</v>
      </c>
      <c r="C21">
        <v>35</v>
      </c>
      <c r="E21">
        <f t="shared" si="0"/>
        <v>-11</v>
      </c>
    </row>
    <row r="22" spans="1:5" x14ac:dyDescent="0.25">
      <c r="A22" t="s">
        <v>155</v>
      </c>
      <c r="B22">
        <v>41</v>
      </c>
      <c r="C22">
        <v>52</v>
      </c>
      <c r="E22">
        <f t="shared" si="0"/>
        <v>11</v>
      </c>
    </row>
    <row r="23" spans="1:5" x14ac:dyDescent="0.25">
      <c r="A23" t="s">
        <v>158</v>
      </c>
      <c r="B23">
        <v>34</v>
      </c>
      <c r="C23">
        <v>21</v>
      </c>
      <c r="E23">
        <f t="shared" si="0"/>
        <v>-13</v>
      </c>
    </row>
    <row r="24" spans="1:5" x14ac:dyDescent="0.25">
      <c r="A24" t="s">
        <v>162</v>
      </c>
      <c r="B24">
        <v>41</v>
      </c>
      <c r="C24">
        <v>54</v>
      </c>
      <c r="E24">
        <f t="shared" si="0"/>
        <v>13</v>
      </c>
    </row>
    <row r="25" spans="1:5" x14ac:dyDescent="0.25">
      <c r="A25" t="s">
        <v>160</v>
      </c>
      <c r="B25">
        <v>17</v>
      </c>
      <c r="C25">
        <v>17</v>
      </c>
      <c r="E25">
        <f t="shared" si="0"/>
        <v>0</v>
      </c>
    </row>
    <row r="26" spans="1:5" x14ac:dyDescent="0.25">
      <c r="A26" t="s">
        <v>173</v>
      </c>
      <c r="B26">
        <v>31</v>
      </c>
      <c r="C26">
        <v>39</v>
      </c>
      <c r="E26">
        <f t="shared" si="0"/>
        <v>8</v>
      </c>
    </row>
    <row r="27" spans="1:5" x14ac:dyDescent="0.25">
      <c r="A27" t="s">
        <v>174</v>
      </c>
      <c r="B27">
        <v>50</v>
      </c>
      <c r="C27">
        <v>49</v>
      </c>
      <c r="E27">
        <f t="shared" si="0"/>
        <v>-1</v>
      </c>
    </row>
    <row r="28" spans="1:5" x14ac:dyDescent="0.25">
      <c r="A28" t="s">
        <v>175</v>
      </c>
      <c r="B28">
        <v>56</v>
      </c>
      <c r="C28">
        <v>54</v>
      </c>
      <c r="E28">
        <f t="shared" si="0"/>
        <v>-2</v>
      </c>
    </row>
    <row r="29" spans="1:5" x14ac:dyDescent="0.25">
      <c r="A29" t="s">
        <v>187</v>
      </c>
      <c r="B29">
        <v>40</v>
      </c>
      <c r="C29">
        <v>47</v>
      </c>
      <c r="E29">
        <f t="shared" si="0"/>
        <v>7</v>
      </c>
    </row>
    <row r="30" spans="1:5" x14ac:dyDescent="0.25">
      <c r="A30" t="s">
        <v>186</v>
      </c>
      <c r="B30">
        <v>40</v>
      </c>
      <c r="C30">
        <v>54</v>
      </c>
      <c r="E30">
        <f t="shared" si="0"/>
        <v>14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35</v>
      </c>
      <c r="C33">
        <v>37</v>
      </c>
      <c r="E33">
        <f t="shared" si="0"/>
        <v>2</v>
      </c>
    </row>
    <row r="34" spans="1:5" x14ac:dyDescent="0.25">
      <c r="A34" t="s">
        <v>13</v>
      </c>
      <c r="B34">
        <v>26</v>
      </c>
      <c r="C34">
        <v>32</v>
      </c>
      <c r="E34">
        <f t="shared" si="0"/>
        <v>6</v>
      </c>
    </row>
    <row r="35" spans="1:5" x14ac:dyDescent="0.25">
      <c r="A35" t="s">
        <v>68</v>
      </c>
      <c r="B35">
        <v>43</v>
      </c>
      <c r="C35">
        <v>45</v>
      </c>
      <c r="E35">
        <f t="shared" si="0"/>
        <v>2</v>
      </c>
    </row>
    <row r="36" spans="1:5" x14ac:dyDescent="0.25">
      <c r="A36" t="s">
        <v>69</v>
      </c>
      <c r="B36">
        <v>35</v>
      </c>
      <c r="C36">
        <v>44</v>
      </c>
      <c r="E36">
        <f t="shared" si="0"/>
        <v>9</v>
      </c>
    </row>
    <row r="37" spans="1:5" x14ac:dyDescent="0.25">
      <c r="A37" t="s">
        <v>70</v>
      </c>
      <c r="B37">
        <v>42</v>
      </c>
      <c r="C37">
        <v>41</v>
      </c>
      <c r="E37">
        <f t="shared" si="0"/>
        <v>-1</v>
      </c>
    </row>
    <row r="38" spans="1:5" x14ac:dyDescent="0.25">
      <c r="A38" t="s">
        <v>74</v>
      </c>
      <c r="B38">
        <v>46</v>
      </c>
      <c r="C38">
        <v>39</v>
      </c>
      <c r="E38">
        <f t="shared" si="0"/>
        <v>-7</v>
      </c>
    </row>
    <row r="39" spans="1:5" x14ac:dyDescent="0.25">
      <c r="A39" t="s">
        <v>79</v>
      </c>
      <c r="B39">
        <v>71</v>
      </c>
      <c r="C39">
        <v>63</v>
      </c>
      <c r="E39">
        <f t="shared" si="0"/>
        <v>-8</v>
      </c>
    </row>
    <row r="40" spans="1:5" x14ac:dyDescent="0.25">
      <c r="A40" t="s">
        <v>80</v>
      </c>
      <c r="B40">
        <v>33</v>
      </c>
      <c r="C40">
        <v>42</v>
      </c>
      <c r="E40">
        <f t="shared" si="0"/>
        <v>9</v>
      </c>
    </row>
    <row r="41" spans="1:5" x14ac:dyDescent="0.25">
      <c r="A41" t="s">
        <v>86</v>
      </c>
      <c r="B41">
        <v>59</v>
      </c>
      <c r="C41">
        <v>58</v>
      </c>
      <c r="E41">
        <f t="shared" si="0"/>
        <v>-1</v>
      </c>
    </row>
    <row r="42" spans="1:5" x14ac:dyDescent="0.25">
      <c r="A42" t="s">
        <v>92</v>
      </c>
      <c r="B42">
        <v>50</v>
      </c>
      <c r="C42">
        <v>52</v>
      </c>
      <c r="E42">
        <f t="shared" si="0"/>
        <v>2</v>
      </c>
    </row>
    <row r="43" spans="1:5" x14ac:dyDescent="0.25">
      <c r="A43" t="s">
        <v>93</v>
      </c>
      <c r="B43">
        <v>44</v>
      </c>
      <c r="C43">
        <v>43</v>
      </c>
      <c r="E43">
        <f t="shared" si="0"/>
        <v>-1</v>
      </c>
    </row>
    <row r="44" spans="1:5" x14ac:dyDescent="0.25">
      <c r="A44" t="s">
        <v>110</v>
      </c>
      <c r="B44">
        <v>46</v>
      </c>
      <c r="C44">
        <v>45</v>
      </c>
      <c r="E44">
        <f t="shared" si="0"/>
        <v>-1</v>
      </c>
    </row>
    <row r="45" spans="1:5" x14ac:dyDescent="0.25">
      <c r="A45" t="s">
        <v>120</v>
      </c>
      <c r="B45">
        <v>50</v>
      </c>
      <c r="C45">
        <v>57</v>
      </c>
      <c r="E45">
        <f t="shared" si="0"/>
        <v>7</v>
      </c>
    </row>
    <row r="46" spans="1:5" x14ac:dyDescent="0.25">
      <c r="A46" t="s">
        <v>125</v>
      </c>
      <c r="B46">
        <v>45</v>
      </c>
      <c r="C46">
        <v>35</v>
      </c>
      <c r="E46">
        <f t="shared" si="0"/>
        <v>-10</v>
      </c>
    </row>
    <row r="47" spans="1:5" x14ac:dyDescent="0.25">
      <c r="A47" t="s">
        <v>130</v>
      </c>
      <c r="B47">
        <v>37</v>
      </c>
      <c r="C47">
        <v>47</v>
      </c>
      <c r="E47">
        <f t="shared" si="0"/>
        <v>10</v>
      </c>
    </row>
    <row r="48" spans="1:5" x14ac:dyDescent="0.25">
      <c r="A48" t="s">
        <v>145</v>
      </c>
      <c r="B48">
        <v>43</v>
      </c>
      <c r="C48">
        <v>26</v>
      </c>
      <c r="E48">
        <f t="shared" si="0"/>
        <v>-17</v>
      </c>
    </row>
    <row r="49" spans="1:5" x14ac:dyDescent="0.25">
      <c r="A49" t="s">
        <v>144</v>
      </c>
      <c r="B49">
        <v>48</v>
      </c>
      <c r="C49">
        <v>52</v>
      </c>
      <c r="E49">
        <f t="shared" si="0"/>
        <v>4</v>
      </c>
    </row>
    <row r="50" spans="1:5" x14ac:dyDescent="0.25">
      <c r="A50" t="s">
        <v>132</v>
      </c>
      <c r="B50">
        <v>43</v>
      </c>
      <c r="C50">
        <v>62</v>
      </c>
      <c r="E50">
        <f t="shared" si="0"/>
        <v>19</v>
      </c>
    </row>
    <row r="51" spans="1:5" x14ac:dyDescent="0.25">
      <c r="A51" t="s">
        <v>146</v>
      </c>
      <c r="B51">
        <v>29</v>
      </c>
      <c r="C51">
        <v>28</v>
      </c>
      <c r="E51">
        <f t="shared" si="0"/>
        <v>-1</v>
      </c>
    </row>
    <row r="52" spans="1:5" x14ac:dyDescent="0.25">
      <c r="A52" t="s">
        <v>147</v>
      </c>
      <c r="B52">
        <v>36</v>
      </c>
      <c r="C52">
        <v>32</v>
      </c>
      <c r="E52">
        <f t="shared" si="0"/>
        <v>-4</v>
      </c>
    </row>
    <row r="53" spans="1:5" x14ac:dyDescent="0.25">
      <c r="A53" t="s">
        <v>155</v>
      </c>
      <c r="B53">
        <v>46</v>
      </c>
      <c r="C53">
        <v>47</v>
      </c>
      <c r="E53">
        <f t="shared" si="0"/>
        <v>1</v>
      </c>
    </row>
    <row r="54" spans="1:5" x14ac:dyDescent="0.25">
      <c r="A54" t="s">
        <v>158</v>
      </c>
      <c r="B54">
        <v>33</v>
      </c>
      <c r="C54">
        <v>31</v>
      </c>
      <c r="E54">
        <f t="shared" si="0"/>
        <v>-2</v>
      </c>
    </row>
    <row r="55" spans="1:5" x14ac:dyDescent="0.25">
      <c r="A55" t="s">
        <v>162</v>
      </c>
      <c r="B55">
        <v>37</v>
      </c>
      <c r="C55">
        <v>52</v>
      </c>
      <c r="E55">
        <f t="shared" si="0"/>
        <v>15</v>
      </c>
    </row>
    <row r="56" spans="1:5" x14ac:dyDescent="0.25">
      <c r="A56" t="s">
        <v>160</v>
      </c>
      <c r="B56">
        <v>19</v>
      </c>
      <c r="C56">
        <v>17</v>
      </c>
      <c r="E56">
        <f t="shared" si="0"/>
        <v>-2</v>
      </c>
    </row>
    <row r="57" spans="1:5" x14ac:dyDescent="0.25">
      <c r="A57" t="s">
        <v>173</v>
      </c>
      <c r="B57">
        <v>41</v>
      </c>
      <c r="C57">
        <v>36</v>
      </c>
      <c r="E57">
        <f t="shared" si="0"/>
        <v>-5</v>
      </c>
    </row>
    <row r="58" spans="1:5" x14ac:dyDescent="0.25">
      <c r="A58" t="s">
        <v>174</v>
      </c>
      <c r="B58">
        <v>42</v>
      </c>
      <c r="C58">
        <v>49</v>
      </c>
      <c r="E58">
        <f t="shared" si="0"/>
        <v>7</v>
      </c>
    </row>
    <row r="59" spans="1:5" x14ac:dyDescent="0.25">
      <c r="A59" t="s">
        <v>175</v>
      </c>
      <c r="B59">
        <v>55</v>
      </c>
      <c r="C59">
        <v>52</v>
      </c>
      <c r="E59">
        <f t="shared" si="0"/>
        <v>-3</v>
      </c>
    </row>
    <row r="60" spans="1:5" x14ac:dyDescent="0.25">
      <c r="A60" t="s">
        <v>187</v>
      </c>
      <c r="B60">
        <v>41</v>
      </c>
      <c r="C60">
        <v>43</v>
      </c>
      <c r="E60">
        <f t="shared" si="0"/>
        <v>2</v>
      </c>
    </row>
    <row r="61" spans="1:5" x14ac:dyDescent="0.25">
      <c r="A61" t="s">
        <v>186</v>
      </c>
      <c r="B61">
        <v>58</v>
      </c>
      <c r="C61">
        <v>56</v>
      </c>
      <c r="E61">
        <f t="shared" si="0"/>
        <v>-2</v>
      </c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69"/>
  <sheetViews>
    <sheetView zoomScale="55" zoomScaleNormal="55" workbookViewId="0">
      <selection activeCell="AI47" sqref="AI47"/>
    </sheetView>
  </sheetViews>
  <sheetFormatPr defaultRowHeight="15" x14ac:dyDescent="0.25"/>
  <sheetData>
    <row r="1" spans="1:33" s="25" customFormat="1" x14ac:dyDescent="0.25">
      <c r="A1" s="25" t="s">
        <v>0</v>
      </c>
      <c r="B1" s="25" t="s">
        <v>4</v>
      </c>
      <c r="C1" s="25" t="s">
        <v>2</v>
      </c>
      <c r="E1" s="25" t="s">
        <v>271</v>
      </c>
      <c r="F1" s="25" t="s">
        <v>264</v>
      </c>
      <c r="G1" s="25" t="s">
        <v>14</v>
      </c>
      <c r="H1" s="25" t="s">
        <v>265</v>
      </c>
      <c r="I1" s="25" t="s">
        <v>266</v>
      </c>
      <c r="J1" s="25" t="s">
        <v>267</v>
      </c>
      <c r="K1" s="25" t="s">
        <v>268</v>
      </c>
      <c r="L1" s="25" t="s">
        <v>269</v>
      </c>
      <c r="M1" s="25" t="s">
        <v>273</v>
      </c>
      <c r="O1" s="25" t="s">
        <v>272</v>
      </c>
      <c r="P1" s="25" t="s">
        <v>264</v>
      </c>
      <c r="Q1" s="25" t="s">
        <v>14</v>
      </c>
      <c r="R1" s="25" t="s">
        <v>265</v>
      </c>
      <c r="S1" s="25" t="s">
        <v>266</v>
      </c>
      <c r="T1" s="25" t="s">
        <v>267</v>
      </c>
      <c r="U1" s="25" t="s">
        <v>268</v>
      </c>
      <c r="V1" s="25" t="s">
        <v>269</v>
      </c>
      <c r="W1" s="25" t="s">
        <v>273</v>
      </c>
      <c r="Y1" s="25" t="s">
        <v>274</v>
      </c>
      <c r="Z1" s="25" t="s">
        <v>264</v>
      </c>
      <c r="AA1" s="25" t="s">
        <v>14</v>
      </c>
      <c r="AB1" s="25" t="s">
        <v>265</v>
      </c>
      <c r="AC1" s="25" t="s">
        <v>266</v>
      </c>
      <c r="AD1" s="25" t="s">
        <v>267</v>
      </c>
      <c r="AE1" s="25" t="s">
        <v>268</v>
      </c>
      <c r="AF1" s="25" t="s">
        <v>269</v>
      </c>
      <c r="AG1" s="25" t="s">
        <v>273</v>
      </c>
    </row>
    <row r="2" spans="1:33" x14ac:dyDescent="0.25">
      <c r="A2" t="s">
        <v>3</v>
      </c>
      <c r="B2">
        <v>76</v>
      </c>
      <c r="C2">
        <v>62</v>
      </c>
      <c r="F2">
        <v>14</v>
      </c>
      <c r="G2">
        <v>16</v>
      </c>
      <c r="H2">
        <v>13</v>
      </c>
      <c r="I2">
        <v>10</v>
      </c>
      <c r="J2">
        <v>23</v>
      </c>
      <c r="K2" s="5"/>
      <c r="L2" s="5"/>
      <c r="M2">
        <f>SUM(F2:L2)</f>
        <v>76</v>
      </c>
      <c r="P2">
        <v>14</v>
      </c>
      <c r="Q2">
        <v>12</v>
      </c>
      <c r="R2">
        <v>11</v>
      </c>
      <c r="S2">
        <v>9</v>
      </c>
      <c r="T2">
        <v>16</v>
      </c>
      <c r="U2" s="5"/>
      <c r="V2" s="5"/>
      <c r="W2">
        <f>SUM(P2:V2)</f>
        <v>62</v>
      </c>
      <c r="Z2">
        <f>P2-F2</f>
        <v>0</v>
      </c>
      <c r="AA2">
        <f t="shared" ref="AA2:AF2" si="0">Q2-G2</f>
        <v>-4</v>
      </c>
      <c r="AB2">
        <f>R2-H2</f>
        <v>-2</v>
      </c>
      <c r="AC2">
        <f t="shared" si="0"/>
        <v>-1</v>
      </c>
      <c r="AD2">
        <f>T2-J2</f>
        <v>-7</v>
      </c>
      <c r="AE2">
        <f t="shared" si="0"/>
        <v>0</v>
      </c>
      <c r="AF2">
        <f t="shared" si="0"/>
        <v>0</v>
      </c>
      <c r="AG2">
        <f>W2-M2</f>
        <v>-14</v>
      </c>
    </row>
    <row r="3" spans="1:33" x14ac:dyDescent="0.25">
      <c r="A3" t="s">
        <v>13</v>
      </c>
      <c r="B3">
        <v>44</v>
      </c>
      <c r="C3">
        <v>48</v>
      </c>
      <c r="F3">
        <v>8</v>
      </c>
      <c r="G3">
        <v>11</v>
      </c>
      <c r="H3">
        <v>9</v>
      </c>
      <c r="I3">
        <v>5</v>
      </c>
      <c r="J3">
        <v>9</v>
      </c>
      <c r="K3">
        <v>1</v>
      </c>
      <c r="L3">
        <v>1</v>
      </c>
      <c r="M3">
        <f t="shared" ref="M3:M61" si="1">SUM(F3:L3)</f>
        <v>44</v>
      </c>
      <c r="P3">
        <v>8</v>
      </c>
      <c r="Q3">
        <v>12</v>
      </c>
      <c r="R3">
        <v>10</v>
      </c>
      <c r="S3">
        <v>6</v>
      </c>
      <c r="T3">
        <v>10</v>
      </c>
      <c r="U3">
        <v>1</v>
      </c>
      <c r="V3">
        <v>1</v>
      </c>
      <c r="W3">
        <f t="shared" ref="W3:W61" si="2">SUM(P3:V3)</f>
        <v>48</v>
      </c>
      <c r="Z3">
        <f t="shared" ref="Z3:Z61" si="3">P3-F3</f>
        <v>0</v>
      </c>
      <c r="AA3">
        <f t="shared" ref="AA3:AA61" si="4">Q3-G3</f>
        <v>1</v>
      </c>
      <c r="AB3">
        <f t="shared" ref="AB3:AB61" si="5">R3-H3</f>
        <v>1</v>
      </c>
      <c r="AC3">
        <f t="shared" ref="AC3:AC61" si="6">S3-I3</f>
        <v>1</v>
      </c>
      <c r="AD3">
        <f t="shared" ref="AD3:AD61" si="7">T3-J3</f>
        <v>1</v>
      </c>
      <c r="AE3">
        <f t="shared" ref="AE3:AE61" si="8">U3-K3</f>
        <v>0</v>
      </c>
      <c r="AF3">
        <f t="shared" ref="AF3:AF61" si="9">V3-L3</f>
        <v>0</v>
      </c>
      <c r="AG3">
        <f t="shared" ref="AG3:AG61" si="10">W3-M3</f>
        <v>4</v>
      </c>
    </row>
    <row r="4" spans="1:33" x14ac:dyDescent="0.25">
      <c r="A4" t="s">
        <v>68</v>
      </c>
      <c r="B4">
        <v>88</v>
      </c>
      <c r="C4">
        <v>84</v>
      </c>
      <c r="F4">
        <v>15</v>
      </c>
      <c r="G4">
        <v>22</v>
      </c>
      <c r="H4">
        <v>23</v>
      </c>
      <c r="I4">
        <v>13</v>
      </c>
      <c r="J4">
        <v>13</v>
      </c>
      <c r="K4">
        <v>1</v>
      </c>
      <c r="L4">
        <v>1</v>
      </c>
      <c r="M4">
        <f t="shared" si="1"/>
        <v>88</v>
      </c>
      <c r="P4">
        <v>15</v>
      </c>
      <c r="Q4">
        <v>19</v>
      </c>
      <c r="R4">
        <v>22</v>
      </c>
      <c r="S4">
        <v>13</v>
      </c>
      <c r="T4">
        <v>13</v>
      </c>
      <c r="U4">
        <v>1</v>
      </c>
      <c r="V4">
        <v>1</v>
      </c>
      <c r="W4">
        <f t="shared" si="2"/>
        <v>84</v>
      </c>
      <c r="Z4">
        <f t="shared" si="3"/>
        <v>0</v>
      </c>
      <c r="AA4">
        <f t="shared" si="4"/>
        <v>-3</v>
      </c>
      <c r="AB4">
        <f t="shared" si="5"/>
        <v>-1</v>
      </c>
      <c r="AC4">
        <f t="shared" si="6"/>
        <v>0</v>
      </c>
      <c r="AD4">
        <f t="shared" si="7"/>
        <v>0</v>
      </c>
      <c r="AE4">
        <f t="shared" si="8"/>
        <v>0</v>
      </c>
      <c r="AF4">
        <f t="shared" si="9"/>
        <v>0</v>
      </c>
      <c r="AG4">
        <f t="shared" si="10"/>
        <v>-4</v>
      </c>
    </row>
    <row r="5" spans="1:33" x14ac:dyDescent="0.25">
      <c r="A5" t="s">
        <v>69</v>
      </c>
      <c r="B5">
        <v>95</v>
      </c>
      <c r="C5">
        <v>50</v>
      </c>
      <c r="F5">
        <v>19</v>
      </c>
      <c r="G5">
        <v>17</v>
      </c>
      <c r="H5">
        <v>20</v>
      </c>
      <c r="I5">
        <v>12</v>
      </c>
      <c r="J5">
        <v>24</v>
      </c>
      <c r="K5">
        <v>2</v>
      </c>
      <c r="L5">
        <v>1</v>
      </c>
      <c r="M5">
        <f t="shared" si="1"/>
        <v>95</v>
      </c>
      <c r="P5">
        <v>11</v>
      </c>
      <c r="Q5">
        <v>9</v>
      </c>
      <c r="R5">
        <v>10</v>
      </c>
      <c r="S5">
        <v>7</v>
      </c>
      <c r="T5">
        <v>10</v>
      </c>
      <c r="U5">
        <v>2</v>
      </c>
      <c r="V5">
        <v>1</v>
      </c>
      <c r="W5">
        <f t="shared" si="2"/>
        <v>50</v>
      </c>
      <c r="Z5">
        <f t="shared" si="3"/>
        <v>-8</v>
      </c>
      <c r="AA5">
        <f t="shared" si="4"/>
        <v>-8</v>
      </c>
      <c r="AB5">
        <f t="shared" si="5"/>
        <v>-10</v>
      </c>
      <c r="AC5">
        <f t="shared" si="6"/>
        <v>-5</v>
      </c>
      <c r="AD5">
        <f t="shared" si="7"/>
        <v>-14</v>
      </c>
      <c r="AE5">
        <f t="shared" si="8"/>
        <v>0</v>
      </c>
      <c r="AF5">
        <f t="shared" si="9"/>
        <v>0</v>
      </c>
      <c r="AG5">
        <f t="shared" si="10"/>
        <v>-45</v>
      </c>
    </row>
    <row r="6" spans="1:33" x14ac:dyDescent="0.25">
      <c r="A6" t="s">
        <v>70</v>
      </c>
      <c r="B6">
        <v>53</v>
      </c>
      <c r="C6">
        <v>58</v>
      </c>
      <c r="F6">
        <v>9</v>
      </c>
      <c r="G6">
        <v>16</v>
      </c>
      <c r="H6">
        <v>11</v>
      </c>
      <c r="I6">
        <v>4</v>
      </c>
      <c r="J6">
        <v>11</v>
      </c>
      <c r="K6">
        <v>1</v>
      </c>
      <c r="L6">
        <v>1</v>
      </c>
      <c r="M6">
        <f t="shared" si="1"/>
        <v>53</v>
      </c>
      <c r="P6">
        <v>12</v>
      </c>
      <c r="Q6">
        <v>15</v>
      </c>
      <c r="R6">
        <v>12</v>
      </c>
      <c r="S6">
        <v>7</v>
      </c>
      <c r="T6">
        <v>10</v>
      </c>
      <c r="U6">
        <v>1</v>
      </c>
      <c r="V6">
        <v>1</v>
      </c>
      <c r="W6">
        <f t="shared" si="2"/>
        <v>58</v>
      </c>
      <c r="Z6">
        <f t="shared" si="3"/>
        <v>3</v>
      </c>
      <c r="AA6">
        <f t="shared" si="4"/>
        <v>-1</v>
      </c>
      <c r="AB6">
        <f t="shared" si="5"/>
        <v>1</v>
      </c>
      <c r="AC6">
        <f t="shared" si="6"/>
        <v>3</v>
      </c>
      <c r="AD6">
        <f t="shared" si="7"/>
        <v>-1</v>
      </c>
      <c r="AE6">
        <f t="shared" si="8"/>
        <v>0</v>
      </c>
      <c r="AF6">
        <f t="shared" si="9"/>
        <v>0</v>
      </c>
      <c r="AG6">
        <f t="shared" si="10"/>
        <v>5</v>
      </c>
    </row>
    <row r="7" spans="1:33" x14ac:dyDescent="0.25">
      <c r="A7" t="s">
        <v>74</v>
      </c>
      <c r="B7">
        <v>83</v>
      </c>
      <c r="C7">
        <v>73</v>
      </c>
      <c r="F7">
        <v>18</v>
      </c>
      <c r="G7">
        <v>19</v>
      </c>
      <c r="H7">
        <v>19</v>
      </c>
      <c r="I7">
        <v>7</v>
      </c>
      <c r="J7">
        <v>18</v>
      </c>
      <c r="K7">
        <v>1</v>
      </c>
      <c r="L7">
        <v>1</v>
      </c>
      <c r="M7">
        <f t="shared" si="1"/>
        <v>83</v>
      </c>
      <c r="P7">
        <v>20</v>
      </c>
      <c r="Q7">
        <v>19</v>
      </c>
      <c r="R7">
        <v>13</v>
      </c>
      <c r="S7">
        <v>6</v>
      </c>
      <c r="T7">
        <v>13</v>
      </c>
      <c r="U7">
        <v>1</v>
      </c>
      <c r="V7">
        <v>1</v>
      </c>
      <c r="W7">
        <f t="shared" si="2"/>
        <v>73</v>
      </c>
      <c r="Z7">
        <f t="shared" si="3"/>
        <v>2</v>
      </c>
      <c r="AA7">
        <f t="shared" si="4"/>
        <v>0</v>
      </c>
      <c r="AB7">
        <f t="shared" si="5"/>
        <v>-6</v>
      </c>
      <c r="AC7">
        <f t="shared" si="6"/>
        <v>-1</v>
      </c>
      <c r="AD7">
        <f t="shared" si="7"/>
        <v>-5</v>
      </c>
      <c r="AE7">
        <f t="shared" si="8"/>
        <v>0</v>
      </c>
      <c r="AF7">
        <f t="shared" si="9"/>
        <v>0</v>
      </c>
      <c r="AG7">
        <f t="shared" si="10"/>
        <v>-10</v>
      </c>
    </row>
    <row r="8" spans="1:33" x14ac:dyDescent="0.25">
      <c r="A8" t="s">
        <v>79</v>
      </c>
      <c r="B8">
        <v>68</v>
      </c>
      <c r="C8">
        <v>74</v>
      </c>
      <c r="F8">
        <v>11</v>
      </c>
      <c r="G8">
        <v>17</v>
      </c>
      <c r="H8">
        <v>19</v>
      </c>
      <c r="I8">
        <v>9</v>
      </c>
      <c r="J8">
        <v>10</v>
      </c>
      <c r="K8">
        <v>1</v>
      </c>
      <c r="L8">
        <v>1</v>
      </c>
      <c r="M8">
        <f t="shared" si="1"/>
        <v>68</v>
      </c>
      <c r="P8">
        <v>13</v>
      </c>
      <c r="Q8">
        <v>24</v>
      </c>
      <c r="R8">
        <v>14</v>
      </c>
      <c r="S8">
        <v>10</v>
      </c>
      <c r="T8">
        <v>11</v>
      </c>
      <c r="U8">
        <v>1</v>
      </c>
      <c r="V8">
        <v>1</v>
      </c>
      <c r="W8">
        <f t="shared" si="2"/>
        <v>74</v>
      </c>
      <c r="Z8">
        <f t="shared" si="3"/>
        <v>2</v>
      </c>
      <c r="AA8">
        <f t="shared" si="4"/>
        <v>7</v>
      </c>
      <c r="AB8">
        <f t="shared" si="5"/>
        <v>-5</v>
      </c>
      <c r="AC8">
        <f t="shared" si="6"/>
        <v>1</v>
      </c>
      <c r="AD8">
        <f t="shared" si="7"/>
        <v>1</v>
      </c>
      <c r="AE8">
        <f t="shared" si="8"/>
        <v>0</v>
      </c>
      <c r="AF8">
        <f t="shared" si="9"/>
        <v>0</v>
      </c>
      <c r="AG8">
        <f t="shared" si="10"/>
        <v>6</v>
      </c>
    </row>
    <row r="9" spans="1:33" x14ac:dyDescent="0.25">
      <c r="A9" t="s">
        <v>80</v>
      </c>
      <c r="B9">
        <v>45</v>
      </c>
      <c r="C9">
        <v>48</v>
      </c>
      <c r="F9">
        <v>8</v>
      </c>
      <c r="G9">
        <v>12</v>
      </c>
      <c r="H9">
        <v>8</v>
      </c>
      <c r="I9">
        <v>4</v>
      </c>
      <c r="J9">
        <v>11</v>
      </c>
      <c r="K9">
        <v>1</v>
      </c>
      <c r="L9">
        <v>1</v>
      </c>
      <c r="M9">
        <f t="shared" si="1"/>
        <v>45</v>
      </c>
      <c r="P9">
        <v>8</v>
      </c>
      <c r="Q9">
        <v>9</v>
      </c>
      <c r="R9">
        <v>11</v>
      </c>
      <c r="S9">
        <v>6</v>
      </c>
      <c r="T9">
        <v>10</v>
      </c>
      <c r="U9">
        <v>3</v>
      </c>
      <c r="V9">
        <v>1</v>
      </c>
      <c r="W9">
        <f t="shared" si="2"/>
        <v>48</v>
      </c>
      <c r="Z9">
        <f t="shared" si="3"/>
        <v>0</v>
      </c>
      <c r="AA9">
        <f t="shared" si="4"/>
        <v>-3</v>
      </c>
      <c r="AB9">
        <f t="shared" si="5"/>
        <v>3</v>
      </c>
      <c r="AC9">
        <f t="shared" si="6"/>
        <v>2</v>
      </c>
      <c r="AD9">
        <f t="shared" si="7"/>
        <v>-1</v>
      </c>
      <c r="AE9">
        <f t="shared" si="8"/>
        <v>2</v>
      </c>
      <c r="AF9">
        <f t="shared" si="9"/>
        <v>0</v>
      </c>
      <c r="AG9">
        <f t="shared" si="10"/>
        <v>3</v>
      </c>
    </row>
    <row r="10" spans="1:33" x14ac:dyDescent="0.25">
      <c r="A10" t="s">
        <v>86</v>
      </c>
      <c r="B10">
        <v>64</v>
      </c>
      <c r="C10">
        <v>98</v>
      </c>
      <c r="F10">
        <v>9</v>
      </c>
      <c r="G10">
        <v>13</v>
      </c>
      <c r="H10">
        <v>14</v>
      </c>
      <c r="I10">
        <v>9</v>
      </c>
      <c r="J10">
        <v>16</v>
      </c>
      <c r="K10">
        <v>1</v>
      </c>
      <c r="L10">
        <v>2</v>
      </c>
      <c r="M10">
        <f t="shared" si="1"/>
        <v>64</v>
      </c>
      <c r="P10">
        <v>16</v>
      </c>
      <c r="Q10">
        <v>21</v>
      </c>
      <c r="R10">
        <v>21</v>
      </c>
      <c r="S10">
        <v>24</v>
      </c>
      <c r="T10">
        <v>12</v>
      </c>
      <c r="U10">
        <v>3</v>
      </c>
      <c r="V10">
        <v>1</v>
      </c>
      <c r="W10">
        <f t="shared" si="2"/>
        <v>98</v>
      </c>
      <c r="Z10">
        <f t="shared" si="3"/>
        <v>7</v>
      </c>
      <c r="AA10">
        <f t="shared" si="4"/>
        <v>8</v>
      </c>
      <c r="AB10">
        <f t="shared" si="5"/>
        <v>7</v>
      </c>
      <c r="AC10">
        <f t="shared" si="6"/>
        <v>15</v>
      </c>
      <c r="AD10">
        <f t="shared" si="7"/>
        <v>-4</v>
      </c>
      <c r="AE10">
        <f t="shared" si="8"/>
        <v>2</v>
      </c>
      <c r="AF10">
        <f t="shared" si="9"/>
        <v>-1</v>
      </c>
      <c r="AG10">
        <f t="shared" si="10"/>
        <v>34</v>
      </c>
    </row>
    <row r="11" spans="1:33" x14ac:dyDescent="0.25">
      <c r="A11" t="s">
        <v>92</v>
      </c>
      <c r="B11">
        <v>78</v>
      </c>
      <c r="C11">
        <v>77</v>
      </c>
      <c r="F11">
        <v>15</v>
      </c>
      <c r="G11">
        <v>18</v>
      </c>
      <c r="H11">
        <v>16</v>
      </c>
      <c r="I11">
        <v>9</v>
      </c>
      <c r="J11">
        <v>18</v>
      </c>
      <c r="K11">
        <v>1</v>
      </c>
      <c r="L11">
        <v>1</v>
      </c>
      <c r="M11">
        <f t="shared" si="1"/>
        <v>78</v>
      </c>
      <c r="P11">
        <v>14</v>
      </c>
      <c r="Q11">
        <v>19</v>
      </c>
      <c r="R11">
        <v>16</v>
      </c>
      <c r="S11">
        <v>7</v>
      </c>
      <c r="T11">
        <v>17</v>
      </c>
      <c r="U11">
        <v>2</v>
      </c>
      <c r="V11">
        <v>2</v>
      </c>
      <c r="W11">
        <f t="shared" si="2"/>
        <v>77</v>
      </c>
      <c r="Z11">
        <f t="shared" si="3"/>
        <v>-1</v>
      </c>
      <c r="AA11">
        <f t="shared" si="4"/>
        <v>1</v>
      </c>
      <c r="AB11">
        <f t="shared" si="5"/>
        <v>0</v>
      </c>
      <c r="AC11">
        <f t="shared" si="6"/>
        <v>-2</v>
      </c>
      <c r="AD11">
        <f t="shared" si="7"/>
        <v>-1</v>
      </c>
      <c r="AE11">
        <f t="shared" si="8"/>
        <v>1</v>
      </c>
      <c r="AF11">
        <f t="shared" si="9"/>
        <v>1</v>
      </c>
      <c r="AG11">
        <f t="shared" si="10"/>
        <v>-1</v>
      </c>
    </row>
    <row r="12" spans="1:33" x14ac:dyDescent="0.25">
      <c r="A12" t="s">
        <v>93</v>
      </c>
      <c r="B12">
        <v>59</v>
      </c>
      <c r="C12">
        <v>65</v>
      </c>
      <c r="F12">
        <v>9</v>
      </c>
      <c r="G12">
        <v>11</v>
      </c>
      <c r="H12">
        <v>15</v>
      </c>
      <c r="I12">
        <v>9</v>
      </c>
      <c r="J12">
        <v>11</v>
      </c>
      <c r="K12">
        <v>1</v>
      </c>
      <c r="L12">
        <v>3</v>
      </c>
      <c r="M12">
        <f t="shared" si="1"/>
        <v>59</v>
      </c>
      <c r="P12">
        <v>10</v>
      </c>
      <c r="Q12">
        <v>13</v>
      </c>
      <c r="R12">
        <v>12</v>
      </c>
      <c r="S12">
        <v>12</v>
      </c>
      <c r="T12">
        <v>12</v>
      </c>
      <c r="U12">
        <v>3</v>
      </c>
      <c r="V12">
        <v>3</v>
      </c>
      <c r="W12">
        <f t="shared" si="2"/>
        <v>65</v>
      </c>
      <c r="Z12">
        <f t="shared" si="3"/>
        <v>1</v>
      </c>
      <c r="AA12">
        <f t="shared" si="4"/>
        <v>2</v>
      </c>
      <c r="AB12">
        <f t="shared" si="5"/>
        <v>-3</v>
      </c>
      <c r="AC12">
        <f t="shared" si="6"/>
        <v>3</v>
      </c>
      <c r="AD12">
        <f t="shared" si="7"/>
        <v>1</v>
      </c>
      <c r="AE12">
        <f t="shared" si="8"/>
        <v>2</v>
      </c>
      <c r="AF12">
        <f t="shared" si="9"/>
        <v>0</v>
      </c>
      <c r="AG12">
        <f t="shared" si="10"/>
        <v>6</v>
      </c>
    </row>
    <row r="13" spans="1:33" x14ac:dyDescent="0.25">
      <c r="A13" t="s">
        <v>110</v>
      </c>
      <c r="B13">
        <v>57</v>
      </c>
      <c r="C13">
        <v>59</v>
      </c>
      <c r="F13">
        <v>8</v>
      </c>
      <c r="G13">
        <v>11</v>
      </c>
      <c r="H13">
        <v>15</v>
      </c>
      <c r="I13">
        <v>9</v>
      </c>
      <c r="J13">
        <v>12</v>
      </c>
      <c r="K13">
        <v>1</v>
      </c>
      <c r="L13">
        <v>1</v>
      </c>
      <c r="M13">
        <f t="shared" si="1"/>
        <v>57</v>
      </c>
      <c r="P13">
        <v>8</v>
      </c>
      <c r="Q13">
        <v>13</v>
      </c>
      <c r="R13">
        <v>19</v>
      </c>
      <c r="S13">
        <v>8</v>
      </c>
      <c r="T13">
        <v>9</v>
      </c>
      <c r="U13">
        <v>1</v>
      </c>
      <c r="V13">
        <v>1</v>
      </c>
      <c r="W13">
        <f t="shared" si="2"/>
        <v>59</v>
      </c>
      <c r="Z13">
        <f t="shared" si="3"/>
        <v>0</v>
      </c>
      <c r="AA13">
        <f t="shared" si="4"/>
        <v>2</v>
      </c>
      <c r="AB13">
        <f t="shared" si="5"/>
        <v>4</v>
      </c>
      <c r="AC13">
        <f t="shared" si="6"/>
        <v>-1</v>
      </c>
      <c r="AD13">
        <f t="shared" si="7"/>
        <v>-3</v>
      </c>
      <c r="AE13">
        <f t="shared" si="8"/>
        <v>0</v>
      </c>
      <c r="AF13">
        <f t="shared" si="9"/>
        <v>0</v>
      </c>
      <c r="AG13">
        <f t="shared" si="10"/>
        <v>2</v>
      </c>
    </row>
    <row r="14" spans="1:33" x14ac:dyDescent="0.25">
      <c r="A14" t="s">
        <v>120</v>
      </c>
      <c r="B14">
        <v>78</v>
      </c>
      <c r="C14">
        <v>83</v>
      </c>
      <c r="F14">
        <v>10</v>
      </c>
      <c r="G14">
        <v>21</v>
      </c>
      <c r="H14">
        <v>19</v>
      </c>
      <c r="I14">
        <v>9</v>
      </c>
      <c r="J14">
        <v>17</v>
      </c>
      <c r="K14">
        <v>1</v>
      </c>
      <c r="L14">
        <v>1</v>
      </c>
      <c r="M14">
        <f t="shared" si="1"/>
        <v>78</v>
      </c>
      <c r="P14">
        <v>11</v>
      </c>
      <c r="Q14">
        <v>26</v>
      </c>
      <c r="R14">
        <v>17</v>
      </c>
      <c r="S14">
        <v>12</v>
      </c>
      <c r="T14">
        <v>15</v>
      </c>
      <c r="U14">
        <v>1</v>
      </c>
      <c r="V14">
        <v>1</v>
      </c>
      <c r="W14">
        <f t="shared" si="2"/>
        <v>83</v>
      </c>
      <c r="Z14">
        <f t="shared" si="3"/>
        <v>1</v>
      </c>
      <c r="AA14">
        <f t="shared" si="4"/>
        <v>5</v>
      </c>
      <c r="AB14">
        <f t="shared" si="5"/>
        <v>-2</v>
      </c>
      <c r="AC14">
        <f t="shared" si="6"/>
        <v>3</v>
      </c>
      <c r="AD14">
        <f t="shared" si="7"/>
        <v>-2</v>
      </c>
      <c r="AE14">
        <f t="shared" si="8"/>
        <v>0</v>
      </c>
      <c r="AF14">
        <f t="shared" si="9"/>
        <v>0</v>
      </c>
      <c r="AG14">
        <f t="shared" si="10"/>
        <v>5</v>
      </c>
    </row>
    <row r="15" spans="1:33" x14ac:dyDescent="0.25">
      <c r="A15" t="s">
        <v>125</v>
      </c>
      <c r="B15">
        <v>61</v>
      </c>
      <c r="C15">
        <v>54</v>
      </c>
      <c r="F15">
        <v>14</v>
      </c>
      <c r="G15">
        <v>8</v>
      </c>
      <c r="H15">
        <v>14</v>
      </c>
      <c r="I15">
        <v>10</v>
      </c>
      <c r="J15">
        <v>13</v>
      </c>
      <c r="K15">
        <v>1</v>
      </c>
      <c r="L15">
        <v>1</v>
      </c>
      <c r="M15">
        <f t="shared" si="1"/>
        <v>61</v>
      </c>
      <c r="P15">
        <v>12</v>
      </c>
      <c r="Q15">
        <v>8</v>
      </c>
      <c r="R15">
        <v>12</v>
      </c>
      <c r="S15">
        <v>8</v>
      </c>
      <c r="T15">
        <v>12</v>
      </c>
      <c r="U15">
        <v>1</v>
      </c>
      <c r="V15">
        <v>1</v>
      </c>
      <c r="W15">
        <f t="shared" si="2"/>
        <v>54</v>
      </c>
      <c r="Z15">
        <f t="shared" si="3"/>
        <v>-2</v>
      </c>
      <c r="AA15">
        <f t="shared" si="4"/>
        <v>0</v>
      </c>
      <c r="AB15">
        <f t="shared" si="5"/>
        <v>-2</v>
      </c>
      <c r="AC15">
        <f t="shared" si="6"/>
        <v>-2</v>
      </c>
      <c r="AD15">
        <f t="shared" si="7"/>
        <v>-1</v>
      </c>
      <c r="AE15">
        <f t="shared" si="8"/>
        <v>0</v>
      </c>
      <c r="AF15">
        <f t="shared" si="9"/>
        <v>0</v>
      </c>
      <c r="AG15">
        <f t="shared" si="10"/>
        <v>-7</v>
      </c>
    </row>
    <row r="16" spans="1:33" x14ac:dyDescent="0.25">
      <c r="A16" t="s">
        <v>130</v>
      </c>
      <c r="B16">
        <v>49</v>
      </c>
      <c r="C16">
        <v>77</v>
      </c>
      <c r="F16">
        <v>8</v>
      </c>
      <c r="G16">
        <v>8</v>
      </c>
      <c r="H16">
        <v>12</v>
      </c>
      <c r="I16">
        <v>5</v>
      </c>
      <c r="J16">
        <v>14</v>
      </c>
      <c r="K16">
        <v>1</v>
      </c>
      <c r="L16">
        <v>1</v>
      </c>
      <c r="M16">
        <f t="shared" si="1"/>
        <v>49</v>
      </c>
      <c r="P16">
        <v>11</v>
      </c>
      <c r="Q16">
        <v>16</v>
      </c>
      <c r="R16">
        <v>21</v>
      </c>
      <c r="S16">
        <v>8</v>
      </c>
      <c r="T16">
        <v>19</v>
      </c>
      <c r="U16">
        <v>1</v>
      </c>
      <c r="V16">
        <v>1</v>
      </c>
      <c r="W16">
        <f t="shared" si="2"/>
        <v>77</v>
      </c>
      <c r="Z16">
        <f t="shared" si="3"/>
        <v>3</v>
      </c>
      <c r="AA16">
        <f t="shared" si="4"/>
        <v>8</v>
      </c>
      <c r="AB16">
        <f t="shared" si="5"/>
        <v>9</v>
      </c>
      <c r="AC16">
        <f t="shared" si="6"/>
        <v>3</v>
      </c>
      <c r="AD16">
        <f t="shared" si="7"/>
        <v>5</v>
      </c>
      <c r="AE16">
        <f t="shared" si="8"/>
        <v>0</v>
      </c>
      <c r="AF16">
        <f t="shared" si="9"/>
        <v>0</v>
      </c>
      <c r="AG16">
        <f t="shared" si="10"/>
        <v>28</v>
      </c>
    </row>
    <row r="17" spans="1:33" x14ac:dyDescent="0.25">
      <c r="A17" t="s">
        <v>145</v>
      </c>
      <c r="B17">
        <v>103</v>
      </c>
      <c r="C17">
        <v>87</v>
      </c>
      <c r="F17">
        <v>13</v>
      </c>
      <c r="G17">
        <v>25</v>
      </c>
      <c r="H17">
        <v>29</v>
      </c>
      <c r="I17">
        <v>11</v>
      </c>
      <c r="J17">
        <v>23</v>
      </c>
      <c r="K17">
        <v>1</v>
      </c>
      <c r="L17">
        <v>1</v>
      </c>
      <c r="M17">
        <f t="shared" si="1"/>
        <v>103</v>
      </c>
      <c r="P17">
        <v>12</v>
      </c>
      <c r="Q17">
        <v>23</v>
      </c>
      <c r="R17">
        <v>26</v>
      </c>
      <c r="S17">
        <v>8</v>
      </c>
      <c r="T17">
        <v>16</v>
      </c>
      <c r="U17">
        <v>1</v>
      </c>
      <c r="V17">
        <v>1</v>
      </c>
      <c r="W17">
        <f t="shared" si="2"/>
        <v>87</v>
      </c>
      <c r="Z17">
        <f t="shared" si="3"/>
        <v>-1</v>
      </c>
      <c r="AA17">
        <f t="shared" si="4"/>
        <v>-2</v>
      </c>
      <c r="AB17">
        <f t="shared" si="5"/>
        <v>-3</v>
      </c>
      <c r="AC17">
        <f t="shared" si="6"/>
        <v>-3</v>
      </c>
      <c r="AD17">
        <f t="shared" si="7"/>
        <v>-7</v>
      </c>
      <c r="AE17">
        <f t="shared" si="8"/>
        <v>0</v>
      </c>
      <c r="AF17">
        <f t="shared" si="9"/>
        <v>0</v>
      </c>
      <c r="AG17">
        <f t="shared" si="10"/>
        <v>-16</v>
      </c>
    </row>
    <row r="18" spans="1:33" x14ac:dyDescent="0.25">
      <c r="A18" t="s">
        <v>144</v>
      </c>
      <c r="B18">
        <v>67</v>
      </c>
      <c r="C18">
        <v>62</v>
      </c>
      <c r="F18">
        <v>11</v>
      </c>
      <c r="G18">
        <v>16</v>
      </c>
      <c r="H18">
        <v>13</v>
      </c>
      <c r="I18">
        <v>11</v>
      </c>
      <c r="J18">
        <v>14</v>
      </c>
      <c r="K18">
        <v>1</v>
      </c>
      <c r="L18">
        <v>1</v>
      </c>
      <c r="M18">
        <f t="shared" si="1"/>
        <v>67</v>
      </c>
      <c r="P18">
        <v>10</v>
      </c>
      <c r="Q18">
        <v>18</v>
      </c>
      <c r="R18">
        <v>12</v>
      </c>
      <c r="S18">
        <v>9</v>
      </c>
      <c r="T18">
        <v>11</v>
      </c>
      <c r="U18">
        <v>1</v>
      </c>
      <c r="V18">
        <v>1</v>
      </c>
      <c r="W18">
        <f t="shared" si="2"/>
        <v>62</v>
      </c>
      <c r="Z18">
        <f t="shared" si="3"/>
        <v>-1</v>
      </c>
      <c r="AA18">
        <f t="shared" si="4"/>
        <v>2</v>
      </c>
      <c r="AB18">
        <f t="shared" si="5"/>
        <v>-1</v>
      </c>
      <c r="AC18">
        <f t="shared" si="6"/>
        <v>-2</v>
      </c>
      <c r="AD18">
        <f t="shared" si="7"/>
        <v>-3</v>
      </c>
      <c r="AE18">
        <f t="shared" si="8"/>
        <v>0</v>
      </c>
      <c r="AF18">
        <f t="shared" si="9"/>
        <v>0</v>
      </c>
      <c r="AG18">
        <f t="shared" si="10"/>
        <v>-5</v>
      </c>
    </row>
    <row r="19" spans="1:33" x14ac:dyDescent="0.25">
      <c r="A19" t="s">
        <v>132</v>
      </c>
      <c r="B19">
        <v>57</v>
      </c>
      <c r="C19">
        <v>53</v>
      </c>
      <c r="F19">
        <v>11</v>
      </c>
      <c r="G19">
        <v>15</v>
      </c>
      <c r="H19">
        <v>11</v>
      </c>
      <c r="I19">
        <v>5</v>
      </c>
      <c r="J19">
        <v>13</v>
      </c>
      <c r="K19">
        <v>1</v>
      </c>
      <c r="L19">
        <v>1</v>
      </c>
      <c r="M19">
        <f t="shared" si="1"/>
        <v>57</v>
      </c>
      <c r="P19">
        <v>9</v>
      </c>
      <c r="Q19">
        <v>16</v>
      </c>
      <c r="R19">
        <v>10</v>
      </c>
      <c r="S19">
        <v>6</v>
      </c>
      <c r="T19">
        <v>10</v>
      </c>
      <c r="U19">
        <v>1</v>
      </c>
      <c r="V19">
        <v>1</v>
      </c>
      <c r="W19">
        <f t="shared" si="2"/>
        <v>53</v>
      </c>
      <c r="Z19">
        <f t="shared" si="3"/>
        <v>-2</v>
      </c>
      <c r="AA19">
        <f t="shared" si="4"/>
        <v>1</v>
      </c>
      <c r="AB19">
        <f t="shared" si="5"/>
        <v>-1</v>
      </c>
      <c r="AC19">
        <f t="shared" si="6"/>
        <v>1</v>
      </c>
      <c r="AD19">
        <f t="shared" si="7"/>
        <v>-3</v>
      </c>
      <c r="AE19">
        <f t="shared" si="8"/>
        <v>0</v>
      </c>
      <c r="AF19">
        <f t="shared" si="9"/>
        <v>0</v>
      </c>
      <c r="AG19">
        <f t="shared" si="10"/>
        <v>-4</v>
      </c>
    </row>
    <row r="20" spans="1:33" x14ac:dyDescent="0.25">
      <c r="A20" t="s">
        <v>146</v>
      </c>
      <c r="B20">
        <v>73</v>
      </c>
      <c r="C20">
        <v>50</v>
      </c>
      <c r="F20">
        <v>14</v>
      </c>
      <c r="G20">
        <v>19</v>
      </c>
      <c r="H20">
        <v>13</v>
      </c>
      <c r="I20">
        <v>7</v>
      </c>
      <c r="J20">
        <v>17</v>
      </c>
      <c r="K20">
        <v>2</v>
      </c>
      <c r="L20">
        <v>1</v>
      </c>
      <c r="M20">
        <f t="shared" si="1"/>
        <v>73</v>
      </c>
      <c r="P20">
        <v>10</v>
      </c>
      <c r="Q20">
        <v>10</v>
      </c>
      <c r="R20">
        <v>10</v>
      </c>
      <c r="S20">
        <v>5</v>
      </c>
      <c r="T20">
        <v>12</v>
      </c>
      <c r="U20">
        <v>2</v>
      </c>
      <c r="V20">
        <v>1</v>
      </c>
      <c r="W20">
        <f t="shared" si="2"/>
        <v>50</v>
      </c>
      <c r="Z20">
        <f t="shared" si="3"/>
        <v>-4</v>
      </c>
      <c r="AA20">
        <f t="shared" si="4"/>
        <v>-9</v>
      </c>
      <c r="AB20">
        <f t="shared" si="5"/>
        <v>-3</v>
      </c>
      <c r="AC20">
        <f t="shared" si="6"/>
        <v>-2</v>
      </c>
      <c r="AD20">
        <f t="shared" si="7"/>
        <v>-5</v>
      </c>
      <c r="AE20">
        <f t="shared" si="8"/>
        <v>0</v>
      </c>
      <c r="AF20">
        <f t="shared" si="9"/>
        <v>0</v>
      </c>
      <c r="AG20">
        <f t="shared" si="10"/>
        <v>-23</v>
      </c>
    </row>
    <row r="21" spans="1:33" x14ac:dyDescent="0.25">
      <c r="A21" t="s">
        <v>147</v>
      </c>
      <c r="B21">
        <v>54</v>
      </c>
      <c r="C21">
        <v>50</v>
      </c>
      <c r="F21">
        <v>8</v>
      </c>
      <c r="G21">
        <v>15</v>
      </c>
      <c r="H21">
        <v>13</v>
      </c>
      <c r="I21">
        <v>4</v>
      </c>
      <c r="J21">
        <v>10</v>
      </c>
      <c r="K21">
        <v>2</v>
      </c>
      <c r="L21">
        <v>2</v>
      </c>
      <c r="M21">
        <f t="shared" si="1"/>
        <v>54</v>
      </c>
      <c r="P21">
        <v>8</v>
      </c>
      <c r="Q21">
        <v>14</v>
      </c>
      <c r="R21">
        <v>11</v>
      </c>
      <c r="S21">
        <v>4</v>
      </c>
      <c r="T21">
        <v>10</v>
      </c>
      <c r="U21">
        <v>2</v>
      </c>
      <c r="V21">
        <v>1</v>
      </c>
      <c r="W21">
        <f t="shared" si="2"/>
        <v>50</v>
      </c>
      <c r="Z21">
        <f t="shared" si="3"/>
        <v>0</v>
      </c>
      <c r="AA21">
        <f t="shared" si="4"/>
        <v>-1</v>
      </c>
      <c r="AB21">
        <f t="shared" si="5"/>
        <v>-2</v>
      </c>
      <c r="AC21">
        <f t="shared" si="6"/>
        <v>0</v>
      </c>
      <c r="AD21">
        <f t="shared" si="7"/>
        <v>0</v>
      </c>
      <c r="AE21">
        <f t="shared" si="8"/>
        <v>0</v>
      </c>
      <c r="AF21">
        <f t="shared" si="9"/>
        <v>-1</v>
      </c>
      <c r="AG21">
        <f t="shared" si="10"/>
        <v>-4</v>
      </c>
    </row>
    <row r="22" spans="1:33" x14ac:dyDescent="0.25">
      <c r="A22" t="s">
        <v>155</v>
      </c>
      <c r="B22">
        <v>82</v>
      </c>
      <c r="C22">
        <v>71</v>
      </c>
      <c r="F22">
        <v>12</v>
      </c>
      <c r="G22">
        <v>15</v>
      </c>
      <c r="H22">
        <v>18</v>
      </c>
      <c r="I22">
        <v>11</v>
      </c>
      <c r="J22">
        <v>21</v>
      </c>
      <c r="K22">
        <v>2</v>
      </c>
      <c r="L22">
        <v>3</v>
      </c>
      <c r="M22">
        <f t="shared" si="1"/>
        <v>82</v>
      </c>
      <c r="P22">
        <v>11</v>
      </c>
      <c r="Q22">
        <v>16</v>
      </c>
      <c r="R22">
        <v>16</v>
      </c>
      <c r="S22">
        <v>7</v>
      </c>
      <c r="T22">
        <v>16</v>
      </c>
      <c r="U22">
        <v>1</v>
      </c>
      <c r="V22">
        <v>4</v>
      </c>
      <c r="W22">
        <f t="shared" si="2"/>
        <v>71</v>
      </c>
      <c r="Z22">
        <f t="shared" si="3"/>
        <v>-1</v>
      </c>
      <c r="AA22">
        <f t="shared" si="4"/>
        <v>1</v>
      </c>
      <c r="AB22">
        <f t="shared" si="5"/>
        <v>-2</v>
      </c>
      <c r="AC22">
        <f t="shared" si="6"/>
        <v>-4</v>
      </c>
      <c r="AD22">
        <f t="shared" si="7"/>
        <v>-5</v>
      </c>
      <c r="AE22">
        <f t="shared" si="8"/>
        <v>-1</v>
      </c>
      <c r="AF22">
        <f t="shared" si="9"/>
        <v>1</v>
      </c>
      <c r="AG22">
        <f t="shared" si="10"/>
        <v>-11</v>
      </c>
    </row>
    <row r="23" spans="1:33" x14ac:dyDescent="0.25">
      <c r="A23" t="s">
        <v>158</v>
      </c>
      <c r="B23">
        <v>80</v>
      </c>
      <c r="C23">
        <v>58</v>
      </c>
      <c r="F23">
        <v>23</v>
      </c>
      <c r="G23">
        <v>14</v>
      </c>
      <c r="H23">
        <v>13</v>
      </c>
      <c r="I23">
        <v>10</v>
      </c>
      <c r="J23">
        <v>18</v>
      </c>
      <c r="K23">
        <v>1</v>
      </c>
      <c r="L23">
        <v>1</v>
      </c>
      <c r="M23">
        <f t="shared" si="1"/>
        <v>80</v>
      </c>
      <c r="P23">
        <v>12</v>
      </c>
      <c r="Q23">
        <v>15</v>
      </c>
      <c r="R23">
        <v>8</v>
      </c>
      <c r="S23">
        <v>8</v>
      </c>
      <c r="T23">
        <v>13</v>
      </c>
      <c r="U23">
        <v>1</v>
      </c>
      <c r="V23">
        <v>1</v>
      </c>
      <c r="W23">
        <f t="shared" si="2"/>
        <v>58</v>
      </c>
      <c r="Z23">
        <f t="shared" si="3"/>
        <v>-11</v>
      </c>
      <c r="AA23">
        <f t="shared" si="4"/>
        <v>1</v>
      </c>
      <c r="AB23">
        <f t="shared" si="5"/>
        <v>-5</v>
      </c>
      <c r="AC23">
        <f t="shared" si="6"/>
        <v>-2</v>
      </c>
      <c r="AD23">
        <f t="shared" si="7"/>
        <v>-5</v>
      </c>
      <c r="AE23">
        <f t="shared" si="8"/>
        <v>0</v>
      </c>
      <c r="AF23">
        <f t="shared" si="9"/>
        <v>0</v>
      </c>
      <c r="AG23">
        <f t="shared" si="10"/>
        <v>-22</v>
      </c>
    </row>
    <row r="24" spans="1:33" x14ac:dyDescent="0.25">
      <c r="A24" t="s">
        <v>162</v>
      </c>
      <c r="B24">
        <v>82</v>
      </c>
      <c r="C24">
        <v>63</v>
      </c>
      <c r="F24">
        <v>18</v>
      </c>
      <c r="G24">
        <v>15</v>
      </c>
      <c r="H24">
        <v>14</v>
      </c>
      <c r="I24">
        <v>12</v>
      </c>
      <c r="J24">
        <v>21</v>
      </c>
      <c r="K24">
        <v>1</v>
      </c>
      <c r="L24">
        <v>1</v>
      </c>
      <c r="M24">
        <f t="shared" si="1"/>
        <v>82</v>
      </c>
      <c r="P24">
        <v>16</v>
      </c>
      <c r="Q24">
        <v>12</v>
      </c>
      <c r="R24">
        <v>10</v>
      </c>
      <c r="S24">
        <v>8</v>
      </c>
      <c r="T24">
        <v>15</v>
      </c>
      <c r="U24">
        <v>1</v>
      </c>
      <c r="V24">
        <v>1</v>
      </c>
      <c r="W24">
        <f t="shared" si="2"/>
        <v>63</v>
      </c>
      <c r="Z24">
        <f t="shared" si="3"/>
        <v>-2</v>
      </c>
      <c r="AA24">
        <f t="shared" si="4"/>
        <v>-3</v>
      </c>
      <c r="AB24">
        <f t="shared" si="5"/>
        <v>-4</v>
      </c>
      <c r="AC24">
        <f t="shared" si="6"/>
        <v>-4</v>
      </c>
      <c r="AD24">
        <f t="shared" si="7"/>
        <v>-6</v>
      </c>
      <c r="AE24">
        <f t="shared" si="8"/>
        <v>0</v>
      </c>
      <c r="AF24">
        <f t="shared" si="9"/>
        <v>0</v>
      </c>
      <c r="AG24">
        <f t="shared" si="10"/>
        <v>-19</v>
      </c>
    </row>
    <row r="25" spans="1:33" x14ac:dyDescent="0.25">
      <c r="A25" t="s">
        <v>160</v>
      </c>
      <c r="B25">
        <v>42</v>
      </c>
      <c r="C25">
        <v>39</v>
      </c>
      <c r="F25">
        <v>8</v>
      </c>
      <c r="G25">
        <v>9</v>
      </c>
      <c r="H25">
        <v>8</v>
      </c>
      <c r="I25">
        <v>5</v>
      </c>
      <c r="J25">
        <v>10</v>
      </c>
      <c r="K25">
        <v>1</v>
      </c>
      <c r="L25">
        <v>1</v>
      </c>
      <c r="M25">
        <f t="shared" si="1"/>
        <v>42</v>
      </c>
      <c r="P25">
        <v>8</v>
      </c>
      <c r="Q25">
        <v>8</v>
      </c>
      <c r="R25">
        <v>8</v>
      </c>
      <c r="S25">
        <v>4</v>
      </c>
      <c r="T25">
        <v>9</v>
      </c>
      <c r="U25">
        <v>1</v>
      </c>
      <c r="V25">
        <v>1</v>
      </c>
      <c r="W25">
        <f t="shared" si="2"/>
        <v>39</v>
      </c>
      <c r="Z25">
        <f t="shared" si="3"/>
        <v>0</v>
      </c>
      <c r="AA25">
        <f t="shared" si="4"/>
        <v>-1</v>
      </c>
      <c r="AB25">
        <f t="shared" si="5"/>
        <v>0</v>
      </c>
      <c r="AC25">
        <f t="shared" si="6"/>
        <v>-1</v>
      </c>
      <c r="AD25">
        <f t="shared" si="7"/>
        <v>-1</v>
      </c>
      <c r="AE25">
        <f t="shared" si="8"/>
        <v>0</v>
      </c>
      <c r="AF25">
        <f t="shared" si="9"/>
        <v>0</v>
      </c>
      <c r="AG25">
        <f t="shared" si="10"/>
        <v>-3</v>
      </c>
    </row>
    <row r="26" spans="1:33" x14ac:dyDescent="0.25">
      <c r="A26" t="s">
        <v>173</v>
      </c>
      <c r="B26">
        <v>66</v>
      </c>
      <c r="C26">
        <v>67</v>
      </c>
      <c r="F26">
        <v>5</v>
      </c>
      <c r="G26">
        <v>16</v>
      </c>
      <c r="H26">
        <v>16</v>
      </c>
      <c r="I26">
        <v>13</v>
      </c>
      <c r="J26">
        <v>14</v>
      </c>
      <c r="K26">
        <v>1</v>
      </c>
      <c r="L26">
        <v>1</v>
      </c>
      <c r="M26">
        <f t="shared" si="1"/>
        <v>66</v>
      </c>
      <c r="P26">
        <v>7</v>
      </c>
      <c r="Q26">
        <v>18</v>
      </c>
      <c r="R26">
        <v>14</v>
      </c>
      <c r="S26">
        <v>12</v>
      </c>
      <c r="T26">
        <v>13</v>
      </c>
      <c r="U26">
        <v>2</v>
      </c>
      <c r="V26">
        <v>1</v>
      </c>
      <c r="W26">
        <f t="shared" si="2"/>
        <v>67</v>
      </c>
      <c r="Z26">
        <f t="shared" si="3"/>
        <v>2</v>
      </c>
      <c r="AA26">
        <f t="shared" si="4"/>
        <v>2</v>
      </c>
      <c r="AB26">
        <f t="shared" si="5"/>
        <v>-2</v>
      </c>
      <c r="AC26">
        <f t="shared" si="6"/>
        <v>-1</v>
      </c>
      <c r="AD26">
        <f t="shared" si="7"/>
        <v>-1</v>
      </c>
      <c r="AE26">
        <f t="shared" si="8"/>
        <v>1</v>
      </c>
      <c r="AF26">
        <f t="shared" si="9"/>
        <v>0</v>
      </c>
      <c r="AG26">
        <f t="shared" si="10"/>
        <v>1</v>
      </c>
    </row>
    <row r="27" spans="1:33" x14ac:dyDescent="0.25">
      <c r="A27" t="s">
        <v>174</v>
      </c>
      <c r="B27">
        <v>67</v>
      </c>
      <c r="C27">
        <v>62</v>
      </c>
      <c r="F27">
        <v>10</v>
      </c>
      <c r="G27">
        <v>17</v>
      </c>
      <c r="H27">
        <v>17</v>
      </c>
      <c r="I27">
        <v>6</v>
      </c>
      <c r="J27">
        <v>14</v>
      </c>
      <c r="K27">
        <v>1</v>
      </c>
      <c r="L27">
        <v>2</v>
      </c>
      <c r="M27">
        <f t="shared" si="1"/>
        <v>67</v>
      </c>
      <c r="P27">
        <v>9</v>
      </c>
      <c r="Q27">
        <v>15</v>
      </c>
      <c r="R27">
        <v>14</v>
      </c>
      <c r="S27">
        <v>7</v>
      </c>
      <c r="T27">
        <v>15</v>
      </c>
      <c r="U27">
        <v>1</v>
      </c>
      <c r="V27">
        <v>1</v>
      </c>
      <c r="W27">
        <f t="shared" si="2"/>
        <v>62</v>
      </c>
      <c r="Z27">
        <f t="shared" si="3"/>
        <v>-1</v>
      </c>
      <c r="AA27">
        <f t="shared" si="4"/>
        <v>-2</v>
      </c>
      <c r="AB27">
        <f t="shared" si="5"/>
        <v>-3</v>
      </c>
      <c r="AC27">
        <f t="shared" si="6"/>
        <v>1</v>
      </c>
      <c r="AD27">
        <f t="shared" si="7"/>
        <v>1</v>
      </c>
      <c r="AE27">
        <f t="shared" si="8"/>
        <v>0</v>
      </c>
      <c r="AF27">
        <f t="shared" si="9"/>
        <v>-1</v>
      </c>
      <c r="AG27">
        <f t="shared" si="10"/>
        <v>-5</v>
      </c>
    </row>
    <row r="28" spans="1:33" x14ac:dyDescent="0.25">
      <c r="A28" t="s">
        <v>175</v>
      </c>
      <c r="B28">
        <v>66</v>
      </c>
      <c r="C28">
        <v>71</v>
      </c>
      <c r="F28">
        <v>11</v>
      </c>
      <c r="G28">
        <v>20</v>
      </c>
      <c r="H28">
        <v>9</v>
      </c>
      <c r="I28">
        <v>11</v>
      </c>
      <c r="J28">
        <v>11</v>
      </c>
      <c r="K28">
        <v>1</v>
      </c>
      <c r="L28">
        <v>3</v>
      </c>
      <c r="M28">
        <f t="shared" si="1"/>
        <v>66</v>
      </c>
      <c r="P28">
        <v>10</v>
      </c>
      <c r="Q28">
        <v>20</v>
      </c>
      <c r="R28">
        <v>14</v>
      </c>
      <c r="S28">
        <v>13</v>
      </c>
      <c r="T28">
        <v>10</v>
      </c>
      <c r="U28">
        <v>1</v>
      </c>
      <c r="V28">
        <v>3</v>
      </c>
      <c r="W28">
        <f t="shared" si="2"/>
        <v>71</v>
      </c>
      <c r="Z28">
        <f t="shared" si="3"/>
        <v>-1</v>
      </c>
      <c r="AA28">
        <f t="shared" si="4"/>
        <v>0</v>
      </c>
      <c r="AB28">
        <f t="shared" si="5"/>
        <v>5</v>
      </c>
      <c r="AC28">
        <f t="shared" si="6"/>
        <v>2</v>
      </c>
      <c r="AD28">
        <f t="shared" si="7"/>
        <v>-1</v>
      </c>
      <c r="AE28">
        <f t="shared" si="8"/>
        <v>0</v>
      </c>
      <c r="AF28">
        <f t="shared" si="9"/>
        <v>0</v>
      </c>
      <c r="AG28">
        <f t="shared" si="10"/>
        <v>5</v>
      </c>
    </row>
    <row r="29" spans="1:33" x14ac:dyDescent="0.25">
      <c r="A29" t="s">
        <v>187</v>
      </c>
      <c r="B29">
        <v>60</v>
      </c>
      <c r="C29">
        <v>69</v>
      </c>
      <c r="F29">
        <v>12</v>
      </c>
      <c r="G29">
        <v>15</v>
      </c>
      <c r="H29">
        <v>12</v>
      </c>
      <c r="I29">
        <v>6</v>
      </c>
      <c r="J29">
        <v>12</v>
      </c>
      <c r="K29">
        <v>1</v>
      </c>
      <c r="L29">
        <v>2</v>
      </c>
      <c r="M29">
        <f t="shared" si="1"/>
        <v>60</v>
      </c>
      <c r="P29">
        <v>15</v>
      </c>
      <c r="Q29">
        <v>15</v>
      </c>
      <c r="R29">
        <v>15</v>
      </c>
      <c r="S29">
        <v>8</v>
      </c>
      <c r="T29">
        <v>13</v>
      </c>
      <c r="U29">
        <v>1</v>
      </c>
      <c r="V29">
        <v>2</v>
      </c>
      <c r="W29">
        <f t="shared" si="2"/>
        <v>69</v>
      </c>
      <c r="Z29">
        <f t="shared" si="3"/>
        <v>3</v>
      </c>
      <c r="AA29">
        <f t="shared" si="4"/>
        <v>0</v>
      </c>
      <c r="AB29">
        <f t="shared" si="5"/>
        <v>3</v>
      </c>
      <c r="AC29">
        <f t="shared" si="6"/>
        <v>2</v>
      </c>
      <c r="AD29">
        <f t="shared" si="7"/>
        <v>1</v>
      </c>
      <c r="AE29">
        <f t="shared" si="8"/>
        <v>0</v>
      </c>
      <c r="AF29">
        <f t="shared" si="9"/>
        <v>0</v>
      </c>
      <c r="AG29">
        <f t="shared" si="10"/>
        <v>9</v>
      </c>
    </row>
    <row r="30" spans="1:33" x14ac:dyDescent="0.25">
      <c r="A30" t="s">
        <v>186</v>
      </c>
      <c r="B30">
        <v>58</v>
      </c>
      <c r="C30">
        <v>68</v>
      </c>
      <c r="F30">
        <v>11</v>
      </c>
      <c r="G30">
        <v>12</v>
      </c>
      <c r="H30">
        <v>12</v>
      </c>
      <c r="I30">
        <v>10</v>
      </c>
      <c r="J30">
        <v>10</v>
      </c>
      <c r="K30">
        <v>2</v>
      </c>
      <c r="L30">
        <v>1</v>
      </c>
      <c r="M30">
        <f t="shared" si="1"/>
        <v>58</v>
      </c>
      <c r="P30">
        <v>16</v>
      </c>
      <c r="Q30">
        <v>13</v>
      </c>
      <c r="R30">
        <v>14</v>
      </c>
      <c r="S30">
        <v>11</v>
      </c>
      <c r="T30">
        <v>10</v>
      </c>
      <c r="U30">
        <v>2</v>
      </c>
      <c r="V30">
        <v>2</v>
      </c>
      <c r="W30">
        <f t="shared" si="2"/>
        <v>68</v>
      </c>
      <c r="Z30">
        <f t="shared" si="3"/>
        <v>5</v>
      </c>
      <c r="AA30">
        <f t="shared" si="4"/>
        <v>1</v>
      </c>
      <c r="AB30">
        <f t="shared" si="5"/>
        <v>2</v>
      </c>
      <c r="AC30">
        <f t="shared" si="6"/>
        <v>1</v>
      </c>
      <c r="AD30">
        <f t="shared" si="7"/>
        <v>0</v>
      </c>
      <c r="AE30">
        <f t="shared" si="8"/>
        <v>0</v>
      </c>
      <c r="AF30">
        <f t="shared" si="9"/>
        <v>1</v>
      </c>
      <c r="AG30">
        <f t="shared" si="10"/>
        <v>10</v>
      </c>
    </row>
    <row r="32" spans="1:33" s="25" customFormat="1" x14ac:dyDescent="0.25">
      <c r="A32" s="25" t="s">
        <v>1</v>
      </c>
      <c r="M32"/>
      <c r="W32"/>
      <c r="Z32"/>
      <c r="AA32"/>
      <c r="AB32"/>
      <c r="AC32"/>
      <c r="AD32"/>
      <c r="AE32"/>
      <c r="AF32"/>
      <c r="AG32"/>
    </row>
    <row r="33" spans="1:33" x14ac:dyDescent="0.25">
      <c r="A33" t="s">
        <v>3</v>
      </c>
      <c r="B33">
        <v>73</v>
      </c>
      <c r="C33">
        <v>71</v>
      </c>
      <c r="F33">
        <v>15</v>
      </c>
      <c r="G33">
        <v>11</v>
      </c>
      <c r="H33">
        <v>16</v>
      </c>
      <c r="I33">
        <v>10</v>
      </c>
      <c r="J33">
        <v>17</v>
      </c>
      <c r="K33" s="5"/>
      <c r="L33" s="5"/>
      <c r="M33">
        <f t="shared" si="1"/>
        <v>69</v>
      </c>
      <c r="P33">
        <v>12</v>
      </c>
      <c r="Q33">
        <v>14</v>
      </c>
      <c r="R33">
        <v>15</v>
      </c>
      <c r="S33">
        <v>8</v>
      </c>
      <c r="T33">
        <v>18</v>
      </c>
      <c r="U33" s="5"/>
      <c r="V33" s="5"/>
      <c r="W33">
        <f t="shared" si="2"/>
        <v>67</v>
      </c>
      <c r="Z33">
        <f t="shared" si="3"/>
        <v>-3</v>
      </c>
      <c r="AA33">
        <f t="shared" si="4"/>
        <v>3</v>
      </c>
      <c r="AB33">
        <f t="shared" si="5"/>
        <v>-1</v>
      </c>
      <c r="AC33">
        <f t="shared" si="6"/>
        <v>-2</v>
      </c>
      <c r="AD33">
        <f t="shared" si="7"/>
        <v>1</v>
      </c>
      <c r="AE33">
        <f t="shared" si="8"/>
        <v>0</v>
      </c>
      <c r="AF33">
        <f t="shared" si="9"/>
        <v>0</v>
      </c>
      <c r="AG33">
        <f t="shared" si="10"/>
        <v>-2</v>
      </c>
    </row>
    <row r="34" spans="1:33" x14ac:dyDescent="0.25">
      <c r="A34" t="s">
        <v>13</v>
      </c>
      <c r="B34">
        <v>50</v>
      </c>
      <c r="C34">
        <v>59</v>
      </c>
      <c r="F34" s="4">
        <v>8</v>
      </c>
      <c r="G34" s="4">
        <v>14</v>
      </c>
      <c r="H34" s="4">
        <v>11</v>
      </c>
      <c r="I34" s="4">
        <v>6</v>
      </c>
      <c r="J34" s="4">
        <v>11</v>
      </c>
      <c r="K34" s="4"/>
      <c r="L34" s="4"/>
      <c r="M34">
        <f t="shared" si="1"/>
        <v>50</v>
      </c>
      <c r="P34">
        <v>8</v>
      </c>
      <c r="Q34">
        <v>13</v>
      </c>
      <c r="R34">
        <v>14</v>
      </c>
      <c r="S34">
        <v>7</v>
      </c>
      <c r="T34">
        <v>15</v>
      </c>
      <c r="U34">
        <v>1</v>
      </c>
      <c r="V34">
        <v>1</v>
      </c>
      <c r="W34">
        <f t="shared" si="2"/>
        <v>59</v>
      </c>
      <c r="Z34">
        <f t="shared" si="3"/>
        <v>0</v>
      </c>
      <c r="AA34">
        <f t="shared" si="4"/>
        <v>-1</v>
      </c>
      <c r="AB34">
        <f t="shared" si="5"/>
        <v>3</v>
      </c>
      <c r="AC34">
        <f t="shared" si="6"/>
        <v>1</v>
      </c>
      <c r="AD34">
        <f t="shared" si="7"/>
        <v>4</v>
      </c>
      <c r="AE34">
        <f t="shared" si="8"/>
        <v>1</v>
      </c>
      <c r="AF34">
        <f t="shared" si="9"/>
        <v>1</v>
      </c>
      <c r="AG34">
        <f t="shared" si="10"/>
        <v>9</v>
      </c>
    </row>
    <row r="35" spans="1:33" x14ac:dyDescent="0.25">
      <c r="A35" t="s">
        <v>68</v>
      </c>
      <c r="B35">
        <v>67</v>
      </c>
      <c r="C35">
        <v>54</v>
      </c>
      <c r="F35">
        <v>11</v>
      </c>
      <c r="G35">
        <v>11</v>
      </c>
      <c r="H35">
        <v>21</v>
      </c>
      <c r="I35">
        <v>11</v>
      </c>
      <c r="J35">
        <v>11</v>
      </c>
      <c r="K35">
        <v>1</v>
      </c>
      <c r="L35">
        <v>1</v>
      </c>
      <c r="M35">
        <f t="shared" si="1"/>
        <v>67</v>
      </c>
      <c r="P35">
        <v>9</v>
      </c>
      <c r="Q35">
        <v>10</v>
      </c>
      <c r="R35">
        <v>15</v>
      </c>
      <c r="S35">
        <v>9</v>
      </c>
      <c r="T35">
        <v>9</v>
      </c>
      <c r="U35">
        <v>1</v>
      </c>
      <c r="V35">
        <v>1</v>
      </c>
      <c r="W35">
        <f t="shared" si="2"/>
        <v>54</v>
      </c>
      <c r="Z35">
        <f t="shared" si="3"/>
        <v>-2</v>
      </c>
      <c r="AA35">
        <f t="shared" si="4"/>
        <v>-1</v>
      </c>
      <c r="AB35">
        <f t="shared" si="5"/>
        <v>-6</v>
      </c>
      <c r="AC35">
        <f t="shared" si="6"/>
        <v>-2</v>
      </c>
      <c r="AD35">
        <f t="shared" si="7"/>
        <v>-2</v>
      </c>
      <c r="AE35">
        <f t="shared" si="8"/>
        <v>0</v>
      </c>
      <c r="AF35">
        <f t="shared" si="9"/>
        <v>0</v>
      </c>
      <c r="AG35">
        <f t="shared" si="10"/>
        <v>-13</v>
      </c>
    </row>
    <row r="36" spans="1:33" x14ac:dyDescent="0.25">
      <c r="A36" t="s">
        <v>69</v>
      </c>
      <c r="B36">
        <v>54</v>
      </c>
      <c r="C36">
        <v>71</v>
      </c>
      <c r="F36">
        <v>12</v>
      </c>
      <c r="G36">
        <v>12</v>
      </c>
      <c r="H36">
        <v>10</v>
      </c>
      <c r="I36">
        <v>8</v>
      </c>
      <c r="J36">
        <v>9</v>
      </c>
      <c r="K36">
        <v>2</v>
      </c>
      <c r="L36">
        <v>1</v>
      </c>
      <c r="M36">
        <f t="shared" si="1"/>
        <v>54</v>
      </c>
      <c r="P36">
        <v>17</v>
      </c>
      <c r="Q36">
        <v>14</v>
      </c>
      <c r="R36">
        <v>15</v>
      </c>
      <c r="S36">
        <v>7</v>
      </c>
      <c r="T36">
        <v>14</v>
      </c>
      <c r="U36">
        <v>1</v>
      </c>
      <c r="V36">
        <v>3</v>
      </c>
      <c r="W36">
        <f t="shared" si="2"/>
        <v>71</v>
      </c>
      <c r="Z36">
        <f t="shared" si="3"/>
        <v>5</v>
      </c>
      <c r="AA36">
        <f t="shared" si="4"/>
        <v>2</v>
      </c>
      <c r="AB36">
        <f t="shared" si="5"/>
        <v>5</v>
      </c>
      <c r="AC36">
        <f t="shared" si="6"/>
        <v>-1</v>
      </c>
      <c r="AD36">
        <f t="shared" si="7"/>
        <v>5</v>
      </c>
      <c r="AE36">
        <f t="shared" si="8"/>
        <v>-1</v>
      </c>
      <c r="AF36">
        <f t="shared" si="9"/>
        <v>2</v>
      </c>
      <c r="AG36">
        <f t="shared" si="10"/>
        <v>17</v>
      </c>
    </row>
    <row r="37" spans="1:33" x14ac:dyDescent="0.25">
      <c r="A37" t="s">
        <v>70</v>
      </c>
      <c r="B37">
        <v>77</v>
      </c>
      <c r="C37">
        <v>51</v>
      </c>
      <c r="F37">
        <v>15</v>
      </c>
      <c r="G37">
        <v>21</v>
      </c>
      <c r="H37">
        <v>18</v>
      </c>
      <c r="I37">
        <v>7</v>
      </c>
      <c r="J37">
        <v>14</v>
      </c>
      <c r="K37">
        <v>1</v>
      </c>
      <c r="L37">
        <v>1</v>
      </c>
      <c r="M37">
        <f t="shared" si="1"/>
        <v>77</v>
      </c>
      <c r="P37">
        <v>10</v>
      </c>
      <c r="Q37">
        <v>13</v>
      </c>
      <c r="R37">
        <v>10</v>
      </c>
      <c r="S37">
        <v>6</v>
      </c>
      <c r="T37">
        <v>10</v>
      </c>
      <c r="U37">
        <v>1</v>
      </c>
      <c r="V37">
        <v>1</v>
      </c>
      <c r="W37">
        <f t="shared" si="2"/>
        <v>51</v>
      </c>
      <c r="Z37">
        <f t="shared" si="3"/>
        <v>-5</v>
      </c>
      <c r="AA37">
        <f t="shared" si="4"/>
        <v>-8</v>
      </c>
      <c r="AB37">
        <f t="shared" si="5"/>
        <v>-8</v>
      </c>
      <c r="AC37">
        <f t="shared" si="6"/>
        <v>-1</v>
      </c>
      <c r="AD37">
        <f t="shared" si="7"/>
        <v>-4</v>
      </c>
      <c r="AE37">
        <f t="shared" si="8"/>
        <v>0</v>
      </c>
      <c r="AF37">
        <f t="shared" si="9"/>
        <v>0</v>
      </c>
      <c r="AG37">
        <f t="shared" si="10"/>
        <v>-26</v>
      </c>
    </row>
    <row r="38" spans="1:33" x14ac:dyDescent="0.25">
      <c r="A38" t="s">
        <v>74</v>
      </c>
      <c r="B38">
        <v>72</v>
      </c>
      <c r="C38">
        <v>67</v>
      </c>
      <c r="F38">
        <v>15</v>
      </c>
      <c r="G38">
        <v>19</v>
      </c>
      <c r="H38">
        <v>14</v>
      </c>
      <c r="I38">
        <v>8</v>
      </c>
      <c r="J38">
        <v>14</v>
      </c>
      <c r="K38">
        <v>1</v>
      </c>
      <c r="L38">
        <v>1</v>
      </c>
      <c r="M38">
        <f t="shared" si="1"/>
        <v>72</v>
      </c>
      <c r="P38">
        <v>14</v>
      </c>
      <c r="Q38">
        <v>19</v>
      </c>
      <c r="R38">
        <v>12</v>
      </c>
      <c r="S38">
        <v>7</v>
      </c>
      <c r="T38">
        <v>13</v>
      </c>
      <c r="U38">
        <v>1</v>
      </c>
      <c r="V38">
        <v>1</v>
      </c>
      <c r="W38">
        <f t="shared" si="2"/>
        <v>67</v>
      </c>
      <c r="Z38">
        <f t="shared" si="3"/>
        <v>-1</v>
      </c>
      <c r="AA38">
        <f t="shared" si="4"/>
        <v>0</v>
      </c>
      <c r="AB38">
        <f t="shared" si="5"/>
        <v>-2</v>
      </c>
      <c r="AC38">
        <f t="shared" si="6"/>
        <v>-1</v>
      </c>
      <c r="AD38">
        <f t="shared" si="7"/>
        <v>-1</v>
      </c>
      <c r="AE38">
        <f t="shared" si="8"/>
        <v>0</v>
      </c>
      <c r="AF38">
        <f t="shared" si="9"/>
        <v>0</v>
      </c>
      <c r="AG38">
        <f>W38-M38</f>
        <v>-5</v>
      </c>
    </row>
    <row r="39" spans="1:33" x14ac:dyDescent="0.25">
      <c r="A39" t="s">
        <v>79</v>
      </c>
      <c r="B39">
        <v>96</v>
      </c>
      <c r="C39">
        <v>78</v>
      </c>
      <c r="F39">
        <v>15</v>
      </c>
      <c r="G39">
        <v>29</v>
      </c>
      <c r="H39">
        <v>21</v>
      </c>
      <c r="I39">
        <v>14</v>
      </c>
      <c r="J39">
        <v>14</v>
      </c>
      <c r="K39">
        <v>2</v>
      </c>
      <c r="L39">
        <v>1</v>
      </c>
      <c r="M39">
        <f t="shared" si="1"/>
        <v>96</v>
      </c>
      <c r="P39">
        <v>13</v>
      </c>
      <c r="Q39">
        <v>24</v>
      </c>
      <c r="R39">
        <v>18</v>
      </c>
      <c r="S39">
        <v>10</v>
      </c>
      <c r="T39">
        <v>11</v>
      </c>
      <c r="U39">
        <v>1</v>
      </c>
      <c r="V39">
        <v>1</v>
      </c>
      <c r="W39">
        <f t="shared" si="2"/>
        <v>78</v>
      </c>
      <c r="Z39">
        <f t="shared" si="3"/>
        <v>-2</v>
      </c>
      <c r="AA39">
        <f t="shared" si="4"/>
        <v>-5</v>
      </c>
      <c r="AB39">
        <f t="shared" si="5"/>
        <v>-3</v>
      </c>
      <c r="AC39">
        <f t="shared" si="6"/>
        <v>-4</v>
      </c>
      <c r="AD39">
        <f t="shared" si="7"/>
        <v>-3</v>
      </c>
      <c r="AE39">
        <f t="shared" si="8"/>
        <v>-1</v>
      </c>
      <c r="AF39">
        <f t="shared" si="9"/>
        <v>0</v>
      </c>
      <c r="AG39">
        <f t="shared" si="10"/>
        <v>-18</v>
      </c>
    </row>
    <row r="40" spans="1:33" x14ac:dyDescent="0.25">
      <c r="A40" t="s">
        <v>80</v>
      </c>
      <c r="B40">
        <v>42</v>
      </c>
      <c r="C40">
        <v>43</v>
      </c>
      <c r="F40">
        <v>8</v>
      </c>
      <c r="G40">
        <v>9</v>
      </c>
      <c r="H40">
        <v>8</v>
      </c>
      <c r="I40">
        <v>4</v>
      </c>
      <c r="J40">
        <v>11</v>
      </c>
      <c r="K40">
        <v>1</v>
      </c>
      <c r="L40">
        <v>1</v>
      </c>
      <c r="M40">
        <f t="shared" si="1"/>
        <v>42</v>
      </c>
      <c r="P40">
        <v>9</v>
      </c>
      <c r="Q40">
        <v>8</v>
      </c>
      <c r="R40">
        <v>9</v>
      </c>
      <c r="S40">
        <v>4</v>
      </c>
      <c r="T40">
        <v>9</v>
      </c>
      <c r="U40">
        <v>3</v>
      </c>
      <c r="V40">
        <v>1</v>
      </c>
      <c r="W40">
        <f t="shared" si="2"/>
        <v>43</v>
      </c>
      <c r="Z40">
        <f t="shared" si="3"/>
        <v>1</v>
      </c>
      <c r="AA40">
        <f t="shared" si="4"/>
        <v>-1</v>
      </c>
      <c r="AB40">
        <f t="shared" si="5"/>
        <v>1</v>
      </c>
      <c r="AC40">
        <f t="shared" si="6"/>
        <v>0</v>
      </c>
      <c r="AD40">
        <f t="shared" si="7"/>
        <v>-2</v>
      </c>
      <c r="AE40">
        <f t="shared" si="8"/>
        <v>2</v>
      </c>
      <c r="AF40">
        <f t="shared" si="9"/>
        <v>0</v>
      </c>
      <c r="AG40">
        <f t="shared" si="10"/>
        <v>1</v>
      </c>
    </row>
    <row r="41" spans="1:33" x14ac:dyDescent="0.25">
      <c r="A41" t="s">
        <v>86</v>
      </c>
      <c r="B41">
        <v>108</v>
      </c>
      <c r="C41">
        <v>106</v>
      </c>
      <c r="F41">
        <v>17</v>
      </c>
      <c r="G41">
        <v>22</v>
      </c>
      <c r="H41">
        <v>25</v>
      </c>
      <c r="I41">
        <v>15</v>
      </c>
      <c r="J41">
        <v>24</v>
      </c>
      <c r="K41">
        <v>4</v>
      </c>
      <c r="L41">
        <v>1</v>
      </c>
      <c r="M41">
        <f t="shared" si="1"/>
        <v>108</v>
      </c>
      <c r="P41">
        <v>17</v>
      </c>
      <c r="Q41">
        <v>22</v>
      </c>
      <c r="R41">
        <v>24</v>
      </c>
      <c r="S41">
        <v>15</v>
      </c>
      <c r="T41">
        <v>25</v>
      </c>
      <c r="U41">
        <v>2</v>
      </c>
      <c r="V41">
        <v>1</v>
      </c>
      <c r="W41">
        <f t="shared" si="2"/>
        <v>106</v>
      </c>
      <c r="Z41">
        <f t="shared" si="3"/>
        <v>0</v>
      </c>
      <c r="AA41">
        <f t="shared" si="4"/>
        <v>0</v>
      </c>
      <c r="AB41">
        <f t="shared" si="5"/>
        <v>-1</v>
      </c>
      <c r="AC41">
        <f t="shared" si="6"/>
        <v>0</v>
      </c>
      <c r="AD41">
        <f t="shared" si="7"/>
        <v>1</v>
      </c>
      <c r="AE41">
        <f t="shared" si="8"/>
        <v>-2</v>
      </c>
      <c r="AF41">
        <f t="shared" si="9"/>
        <v>0</v>
      </c>
      <c r="AG41">
        <f t="shared" si="10"/>
        <v>-2</v>
      </c>
    </row>
    <row r="42" spans="1:33" x14ac:dyDescent="0.25">
      <c r="A42" t="s">
        <v>92</v>
      </c>
      <c r="B42">
        <v>102</v>
      </c>
      <c r="C42">
        <v>100</v>
      </c>
      <c r="F42">
        <v>19</v>
      </c>
      <c r="G42">
        <v>24</v>
      </c>
      <c r="H42">
        <v>19</v>
      </c>
      <c r="I42">
        <v>10</v>
      </c>
      <c r="J42">
        <v>25</v>
      </c>
      <c r="K42">
        <v>3</v>
      </c>
      <c r="L42">
        <v>2</v>
      </c>
      <c r="M42">
        <f t="shared" si="1"/>
        <v>102</v>
      </c>
      <c r="P42">
        <v>20</v>
      </c>
      <c r="Q42">
        <v>17</v>
      </c>
      <c r="R42">
        <v>20</v>
      </c>
      <c r="S42">
        <v>12</v>
      </c>
      <c r="T42">
        <v>28</v>
      </c>
      <c r="U42">
        <v>2</v>
      </c>
      <c r="V42">
        <v>1</v>
      </c>
      <c r="W42">
        <f t="shared" si="2"/>
        <v>100</v>
      </c>
      <c r="Z42">
        <f t="shared" si="3"/>
        <v>1</v>
      </c>
      <c r="AA42">
        <f t="shared" si="4"/>
        <v>-7</v>
      </c>
      <c r="AB42">
        <f t="shared" si="5"/>
        <v>1</v>
      </c>
      <c r="AC42">
        <f t="shared" si="6"/>
        <v>2</v>
      </c>
      <c r="AD42">
        <f t="shared" si="7"/>
        <v>3</v>
      </c>
      <c r="AE42">
        <f t="shared" si="8"/>
        <v>-1</v>
      </c>
      <c r="AF42">
        <f t="shared" si="9"/>
        <v>-1</v>
      </c>
      <c r="AG42">
        <f t="shared" si="10"/>
        <v>-2</v>
      </c>
    </row>
    <row r="43" spans="1:33" x14ac:dyDescent="0.25">
      <c r="A43" t="s">
        <v>93</v>
      </c>
      <c r="B43">
        <v>69</v>
      </c>
      <c r="C43">
        <v>64</v>
      </c>
      <c r="F43">
        <v>14</v>
      </c>
      <c r="G43">
        <v>15</v>
      </c>
      <c r="H43">
        <v>14</v>
      </c>
      <c r="I43">
        <v>12</v>
      </c>
      <c r="J43">
        <v>10</v>
      </c>
      <c r="K43">
        <v>2</v>
      </c>
      <c r="L43">
        <v>2</v>
      </c>
      <c r="M43">
        <f t="shared" si="1"/>
        <v>69</v>
      </c>
      <c r="P43">
        <v>11</v>
      </c>
      <c r="Q43">
        <v>10</v>
      </c>
      <c r="R43">
        <v>15</v>
      </c>
      <c r="S43">
        <v>11</v>
      </c>
      <c r="T43">
        <v>12</v>
      </c>
      <c r="U43">
        <v>2</v>
      </c>
      <c r="V43">
        <v>3</v>
      </c>
      <c r="W43">
        <f t="shared" si="2"/>
        <v>64</v>
      </c>
      <c r="Z43">
        <f t="shared" si="3"/>
        <v>-3</v>
      </c>
      <c r="AA43">
        <f t="shared" si="4"/>
        <v>-5</v>
      </c>
      <c r="AB43">
        <f t="shared" si="5"/>
        <v>1</v>
      </c>
      <c r="AC43">
        <f t="shared" si="6"/>
        <v>-1</v>
      </c>
      <c r="AD43">
        <f t="shared" si="7"/>
        <v>2</v>
      </c>
      <c r="AE43">
        <f t="shared" si="8"/>
        <v>0</v>
      </c>
      <c r="AF43">
        <f t="shared" si="9"/>
        <v>1</v>
      </c>
      <c r="AG43">
        <f t="shared" si="10"/>
        <v>-5</v>
      </c>
    </row>
    <row r="44" spans="1:33" x14ac:dyDescent="0.25">
      <c r="A44" t="s">
        <v>110</v>
      </c>
      <c r="B44">
        <v>61</v>
      </c>
      <c r="C44">
        <v>47</v>
      </c>
      <c r="F44">
        <v>9</v>
      </c>
      <c r="G44">
        <v>15</v>
      </c>
      <c r="H44">
        <v>16</v>
      </c>
      <c r="I44">
        <v>9</v>
      </c>
      <c r="J44">
        <v>10</v>
      </c>
      <c r="K44">
        <v>1</v>
      </c>
      <c r="L44">
        <v>1</v>
      </c>
      <c r="M44">
        <f t="shared" si="1"/>
        <v>61</v>
      </c>
      <c r="P44">
        <v>8</v>
      </c>
      <c r="Q44">
        <v>9</v>
      </c>
      <c r="R44">
        <v>11</v>
      </c>
      <c r="S44">
        <v>8</v>
      </c>
      <c r="T44">
        <v>9</v>
      </c>
      <c r="U44">
        <v>1</v>
      </c>
      <c r="V44">
        <v>1</v>
      </c>
      <c r="W44">
        <f t="shared" si="2"/>
        <v>47</v>
      </c>
      <c r="Z44">
        <f t="shared" si="3"/>
        <v>-1</v>
      </c>
      <c r="AA44">
        <f t="shared" si="4"/>
        <v>-6</v>
      </c>
      <c r="AB44">
        <f t="shared" si="5"/>
        <v>-5</v>
      </c>
      <c r="AC44">
        <f t="shared" si="6"/>
        <v>-1</v>
      </c>
      <c r="AD44">
        <f t="shared" si="7"/>
        <v>-1</v>
      </c>
      <c r="AE44">
        <f t="shared" si="8"/>
        <v>0</v>
      </c>
      <c r="AF44">
        <f t="shared" si="9"/>
        <v>0</v>
      </c>
      <c r="AG44">
        <f t="shared" si="10"/>
        <v>-14</v>
      </c>
    </row>
    <row r="45" spans="1:33" x14ac:dyDescent="0.25">
      <c r="A45" t="s">
        <v>120</v>
      </c>
      <c r="B45">
        <v>71</v>
      </c>
      <c r="C45">
        <v>80</v>
      </c>
      <c r="F45">
        <v>8</v>
      </c>
      <c r="G45">
        <v>20</v>
      </c>
      <c r="H45">
        <v>17</v>
      </c>
      <c r="I45">
        <v>8</v>
      </c>
      <c r="J45">
        <v>16</v>
      </c>
      <c r="K45">
        <v>1</v>
      </c>
      <c r="L45">
        <v>1</v>
      </c>
      <c r="M45">
        <f t="shared" si="1"/>
        <v>71</v>
      </c>
      <c r="P45">
        <v>9</v>
      </c>
      <c r="Q45">
        <v>24</v>
      </c>
      <c r="R45">
        <v>19</v>
      </c>
      <c r="S45">
        <v>11</v>
      </c>
      <c r="T45">
        <v>15</v>
      </c>
      <c r="U45">
        <v>1</v>
      </c>
      <c r="V45">
        <v>1</v>
      </c>
      <c r="W45">
        <f t="shared" si="2"/>
        <v>80</v>
      </c>
      <c r="Z45">
        <f t="shared" si="3"/>
        <v>1</v>
      </c>
      <c r="AA45">
        <f t="shared" si="4"/>
        <v>4</v>
      </c>
      <c r="AB45">
        <f t="shared" si="5"/>
        <v>2</v>
      </c>
      <c r="AC45">
        <f t="shared" si="6"/>
        <v>3</v>
      </c>
      <c r="AD45">
        <f t="shared" si="7"/>
        <v>-1</v>
      </c>
      <c r="AE45">
        <f t="shared" si="8"/>
        <v>0</v>
      </c>
      <c r="AF45">
        <f t="shared" si="9"/>
        <v>0</v>
      </c>
      <c r="AG45">
        <f t="shared" si="10"/>
        <v>9</v>
      </c>
    </row>
    <row r="46" spans="1:33" x14ac:dyDescent="0.25">
      <c r="A46" t="s">
        <v>125</v>
      </c>
      <c r="B46">
        <v>76</v>
      </c>
      <c r="C46">
        <v>65</v>
      </c>
      <c r="F46">
        <v>15</v>
      </c>
      <c r="G46">
        <v>8</v>
      </c>
      <c r="H46">
        <v>19</v>
      </c>
      <c r="I46">
        <v>12</v>
      </c>
      <c r="J46">
        <v>15</v>
      </c>
      <c r="K46">
        <v>3</v>
      </c>
      <c r="L46">
        <v>4</v>
      </c>
      <c r="M46">
        <f t="shared" si="1"/>
        <v>76</v>
      </c>
      <c r="P46">
        <v>13</v>
      </c>
      <c r="Q46">
        <v>8</v>
      </c>
      <c r="R46">
        <v>16</v>
      </c>
      <c r="S46">
        <v>11</v>
      </c>
      <c r="T46">
        <v>13</v>
      </c>
      <c r="U46">
        <v>2</v>
      </c>
      <c r="V46">
        <v>2</v>
      </c>
      <c r="W46">
        <f t="shared" si="2"/>
        <v>65</v>
      </c>
      <c r="Z46">
        <f t="shared" si="3"/>
        <v>-2</v>
      </c>
      <c r="AA46">
        <f t="shared" si="4"/>
        <v>0</v>
      </c>
      <c r="AB46">
        <f t="shared" si="5"/>
        <v>-3</v>
      </c>
      <c r="AC46">
        <f t="shared" si="6"/>
        <v>-1</v>
      </c>
      <c r="AD46">
        <f t="shared" si="7"/>
        <v>-2</v>
      </c>
      <c r="AE46">
        <f t="shared" si="8"/>
        <v>-1</v>
      </c>
      <c r="AF46">
        <f t="shared" si="9"/>
        <v>-2</v>
      </c>
      <c r="AG46">
        <f t="shared" si="10"/>
        <v>-11</v>
      </c>
    </row>
    <row r="47" spans="1:33" x14ac:dyDescent="0.25">
      <c r="A47" t="s">
        <v>130</v>
      </c>
      <c r="B47">
        <v>68</v>
      </c>
      <c r="C47">
        <v>72</v>
      </c>
      <c r="F47">
        <v>10</v>
      </c>
      <c r="G47">
        <v>13</v>
      </c>
      <c r="H47">
        <v>18</v>
      </c>
      <c r="I47">
        <v>8</v>
      </c>
      <c r="J47">
        <v>17</v>
      </c>
      <c r="K47">
        <v>1</v>
      </c>
      <c r="L47">
        <v>1</v>
      </c>
      <c r="M47">
        <f t="shared" si="1"/>
        <v>68</v>
      </c>
      <c r="P47">
        <v>10</v>
      </c>
      <c r="Q47">
        <v>16</v>
      </c>
      <c r="R47">
        <v>19</v>
      </c>
      <c r="S47">
        <v>7</v>
      </c>
      <c r="T47">
        <v>18</v>
      </c>
      <c r="U47">
        <v>1</v>
      </c>
      <c r="V47">
        <v>1</v>
      </c>
      <c r="W47">
        <f t="shared" si="2"/>
        <v>72</v>
      </c>
      <c r="Z47">
        <f t="shared" si="3"/>
        <v>0</v>
      </c>
      <c r="AA47">
        <f t="shared" si="4"/>
        <v>3</v>
      </c>
      <c r="AB47">
        <f t="shared" si="5"/>
        <v>1</v>
      </c>
      <c r="AC47">
        <f t="shared" si="6"/>
        <v>-1</v>
      </c>
      <c r="AD47">
        <f t="shared" si="7"/>
        <v>1</v>
      </c>
      <c r="AE47">
        <f t="shared" si="8"/>
        <v>0</v>
      </c>
      <c r="AF47">
        <f t="shared" si="9"/>
        <v>0</v>
      </c>
      <c r="AG47">
        <f t="shared" si="10"/>
        <v>4</v>
      </c>
    </row>
    <row r="48" spans="1:33" x14ac:dyDescent="0.25">
      <c r="A48" t="s">
        <v>145</v>
      </c>
      <c r="B48">
        <v>72</v>
      </c>
      <c r="C48">
        <v>72</v>
      </c>
      <c r="F48">
        <v>9</v>
      </c>
      <c r="G48">
        <v>18</v>
      </c>
      <c r="H48">
        <v>19</v>
      </c>
      <c r="I48">
        <v>8</v>
      </c>
      <c r="J48">
        <v>16</v>
      </c>
      <c r="K48">
        <v>1</v>
      </c>
      <c r="L48">
        <v>1</v>
      </c>
      <c r="M48">
        <f t="shared" si="1"/>
        <v>72</v>
      </c>
      <c r="P48">
        <v>9</v>
      </c>
      <c r="Q48">
        <v>19</v>
      </c>
      <c r="R48">
        <v>18</v>
      </c>
      <c r="S48">
        <v>8</v>
      </c>
      <c r="T48">
        <v>16</v>
      </c>
      <c r="U48">
        <v>1</v>
      </c>
      <c r="V48">
        <v>1</v>
      </c>
      <c r="W48">
        <f t="shared" si="2"/>
        <v>72</v>
      </c>
      <c r="Z48">
        <f t="shared" si="3"/>
        <v>0</v>
      </c>
      <c r="AA48">
        <f t="shared" si="4"/>
        <v>1</v>
      </c>
      <c r="AB48">
        <f t="shared" si="5"/>
        <v>-1</v>
      </c>
      <c r="AC48">
        <f t="shared" si="6"/>
        <v>0</v>
      </c>
      <c r="AD48">
        <f t="shared" si="7"/>
        <v>0</v>
      </c>
      <c r="AE48">
        <f t="shared" si="8"/>
        <v>0</v>
      </c>
      <c r="AF48">
        <f t="shared" si="9"/>
        <v>0</v>
      </c>
      <c r="AG48">
        <f t="shared" si="10"/>
        <v>0</v>
      </c>
    </row>
    <row r="49" spans="1:33" x14ac:dyDescent="0.25">
      <c r="A49" t="s">
        <v>144</v>
      </c>
      <c r="B49">
        <v>61</v>
      </c>
      <c r="C49">
        <v>62</v>
      </c>
      <c r="F49">
        <v>10</v>
      </c>
      <c r="G49">
        <v>14</v>
      </c>
      <c r="H49">
        <v>12</v>
      </c>
      <c r="I49">
        <v>9</v>
      </c>
      <c r="J49">
        <v>14</v>
      </c>
      <c r="K49">
        <v>1</v>
      </c>
      <c r="L49">
        <v>1</v>
      </c>
      <c r="M49">
        <f t="shared" si="1"/>
        <v>61</v>
      </c>
      <c r="P49">
        <v>10</v>
      </c>
      <c r="Q49">
        <v>16</v>
      </c>
      <c r="R49">
        <v>10</v>
      </c>
      <c r="S49">
        <v>9</v>
      </c>
      <c r="T49">
        <v>15</v>
      </c>
      <c r="U49">
        <v>1</v>
      </c>
      <c r="V49">
        <v>1</v>
      </c>
      <c r="W49">
        <f t="shared" si="2"/>
        <v>62</v>
      </c>
      <c r="Z49">
        <f t="shared" si="3"/>
        <v>0</v>
      </c>
      <c r="AA49">
        <f t="shared" si="4"/>
        <v>2</v>
      </c>
      <c r="AB49">
        <f t="shared" si="5"/>
        <v>-2</v>
      </c>
      <c r="AC49">
        <f t="shared" si="6"/>
        <v>0</v>
      </c>
      <c r="AD49">
        <f t="shared" si="7"/>
        <v>1</v>
      </c>
      <c r="AE49">
        <f t="shared" si="8"/>
        <v>0</v>
      </c>
      <c r="AF49">
        <f t="shared" si="9"/>
        <v>0</v>
      </c>
      <c r="AG49">
        <f t="shared" si="10"/>
        <v>1</v>
      </c>
    </row>
    <row r="50" spans="1:33" x14ac:dyDescent="0.25">
      <c r="A50" t="s">
        <v>132</v>
      </c>
      <c r="B50">
        <v>54</v>
      </c>
      <c r="C50">
        <v>59</v>
      </c>
      <c r="F50">
        <v>10</v>
      </c>
      <c r="G50">
        <v>14</v>
      </c>
      <c r="H50">
        <v>10</v>
      </c>
      <c r="I50">
        <v>5</v>
      </c>
      <c r="J50">
        <v>13</v>
      </c>
      <c r="K50">
        <v>1</v>
      </c>
      <c r="L50">
        <v>1</v>
      </c>
      <c r="M50">
        <f t="shared" si="1"/>
        <v>54</v>
      </c>
      <c r="P50">
        <v>10</v>
      </c>
      <c r="Q50">
        <v>17</v>
      </c>
      <c r="R50">
        <v>12</v>
      </c>
      <c r="S50">
        <v>5</v>
      </c>
      <c r="T50">
        <v>13</v>
      </c>
      <c r="U50">
        <v>1</v>
      </c>
      <c r="V50">
        <v>1</v>
      </c>
      <c r="W50">
        <f t="shared" si="2"/>
        <v>59</v>
      </c>
      <c r="Z50">
        <f t="shared" si="3"/>
        <v>0</v>
      </c>
      <c r="AA50">
        <f t="shared" si="4"/>
        <v>3</v>
      </c>
      <c r="AB50">
        <f t="shared" si="5"/>
        <v>2</v>
      </c>
      <c r="AC50">
        <f t="shared" si="6"/>
        <v>0</v>
      </c>
      <c r="AD50">
        <f t="shared" si="7"/>
        <v>0</v>
      </c>
      <c r="AE50">
        <f t="shared" si="8"/>
        <v>0</v>
      </c>
      <c r="AF50">
        <f t="shared" si="9"/>
        <v>0</v>
      </c>
      <c r="AG50">
        <f t="shared" si="10"/>
        <v>5</v>
      </c>
    </row>
    <row r="51" spans="1:33" x14ac:dyDescent="0.25">
      <c r="A51" t="s">
        <v>146</v>
      </c>
      <c r="B51">
        <v>46</v>
      </c>
      <c r="C51">
        <v>44</v>
      </c>
      <c r="F51">
        <v>9</v>
      </c>
      <c r="G51">
        <v>10</v>
      </c>
      <c r="H51">
        <v>9</v>
      </c>
      <c r="I51">
        <v>4</v>
      </c>
      <c r="J51">
        <v>11</v>
      </c>
      <c r="K51">
        <v>2</v>
      </c>
      <c r="L51">
        <v>1</v>
      </c>
      <c r="M51">
        <f t="shared" si="1"/>
        <v>46</v>
      </c>
      <c r="P51">
        <v>8</v>
      </c>
      <c r="Q51">
        <v>8</v>
      </c>
      <c r="R51">
        <v>10</v>
      </c>
      <c r="S51">
        <v>5</v>
      </c>
      <c r="T51">
        <v>11</v>
      </c>
      <c r="U51">
        <v>1</v>
      </c>
      <c r="V51">
        <v>1</v>
      </c>
      <c r="W51">
        <f t="shared" si="2"/>
        <v>44</v>
      </c>
      <c r="Z51">
        <f t="shared" si="3"/>
        <v>-1</v>
      </c>
      <c r="AA51">
        <f t="shared" si="4"/>
        <v>-2</v>
      </c>
      <c r="AB51">
        <f t="shared" si="5"/>
        <v>1</v>
      </c>
      <c r="AC51">
        <f t="shared" si="6"/>
        <v>1</v>
      </c>
      <c r="AD51">
        <f t="shared" si="7"/>
        <v>0</v>
      </c>
      <c r="AE51">
        <f t="shared" si="8"/>
        <v>-1</v>
      </c>
      <c r="AF51">
        <f t="shared" si="9"/>
        <v>0</v>
      </c>
      <c r="AG51">
        <f t="shared" si="10"/>
        <v>-2</v>
      </c>
    </row>
    <row r="52" spans="1:33" x14ac:dyDescent="0.25">
      <c r="A52" t="s">
        <v>147</v>
      </c>
      <c r="B52">
        <v>68</v>
      </c>
      <c r="C52">
        <v>54</v>
      </c>
      <c r="F52">
        <v>8</v>
      </c>
      <c r="G52">
        <v>21</v>
      </c>
      <c r="H52">
        <v>18</v>
      </c>
      <c r="I52">
        <v>5</v>
      </c>
      <c r="J52">
        <v>13</v>
      </c>
      <c r="K52">
        <v>2</v>
      </c>
      <c r="L52">
        <v>1</v>
      </c>
      <c r="M52">
        <f t="shared" si="1"/>
        <v>68</v>
      </c>
      <c r="P52">
        <v>8</v>
      </c>
      <c r="Q52">
        <v>13</v>
      </c>
      <c r="R52">
        <v>14</v>
      </c>
      <c r="S52">
        <v>5</v>
      </c>
      <c r="T52">
        <v>12</v>
      </c>
      <c r="U52">
        <v>1</v>
      </c>
      <c r="V52">
        <v>1</v>
      </c>
      <c r="W52">
        <f t="shared" si="2"/>
        <v>54</v>
      </c>
      <c r="Z52">
        <f t="shared" si="3"/>
        <v>0</v>
      </c>
      <c r="AA52">
        <f t="shared" si="4"/>
        <v>-8</v>
      </c>
      <c r="AB52">
        <f t="shared" si="5"/>
        <v>-4</v>
      </c>
      <c r="AC52">
        <f t="shared" si="6"/>
        <v>0</v>
      </c>
      <c r="AD52">
        <f t="shared" si="7"/>
        <v>-1</v>
      </c>
      <c r="AE52">
        <f t="shared" si="8"/>
        <v>-1</v>
      </c>
      <c r="AF52">
        <f t="shared" si="9"/>
        <v>0</v>
      </c>
      <c r="AG52">
        <f t="shared" si="10"/>
        <v>-14</v>
      </c>
    </row>
    <row r="53" spans="1:33" x14ac:dyDescent="0.25">
      <c r="A53" t="s">
        <v>155</v>
      </c>
      <c r="B53">
        <v>77</v>
      </c>
      <c r="C53">
        <v>85</v>
      </c>
      <c r="F53">
        <v>19</v>
      </c>
      <c r="G53">
        <v>13</v>
      </c>
      <c r="H53">
        <v>17</v>
      </c>
      <c r="I53">
        <v>8</v>
      </c>
      <c r="J53">
        <v>16</v>
      </c>
      <c r="K53">
        <v>1</v>
      </c>
      <c r="L53">
        <v>3</v>
      </c>
      <c r="M53">
        <f t="shared" si="1"/>
        <v>77</v>
      </c>
      <c r="P53">
        <v>17</v>
      </c>
      <c r="Q53">
        <v>19</v>
      </c>
      <c r="R53">
        <v>18</v>
      </c>
      <c r="S53">
        <v>4</v>
      </c>
      <c r="T53">
        <v>22</v>
      </c>
      <c r="U53">
        <v>1</v>
      </c>
      <c r="V53">
        <v>4</v>
      </c>
      <c r="W53">
        <f t="shared" si="2"/>
        <v>85</v>
      </c>
      <c r="Z53">
        <f t="shared" si="3"/>
        <v>-2</v>
      </c>
      <c r="AA53">
        <f t="shared" si="4"/>
        <v>6</v>
      </c>
      <c r="AB53">
        <f t="shared" si="5"/>
        <v>1</v>
      </c>
      <c r="AC53">
        <f t="shared" si="6"/>
        <v>-4</v>
      </c>
      <c r="AD53">
        <f t="shared" si="7"/>
        <v>6</v>
      </c>
      <c r="AE53">
        <f t="shared" si="8"/>
        <v>0</v>
      </c>
      <c r="AF53">
        <f t="shared" si="9"/>
        <v>1</v>
      </c>
      <c r="AG53">
        <f t="shared" si="10"/>
        <v>8</v>
      </c>
    </row>
    <row r="54" spans="1:33" x14ac:dyDescent="0.25">
      <c r="A54" t="s">
        <v>158</v>
      </c>
      <c r="B54">
        <v>73</v>
      </c>
      <c r="C54">
        <v>87</v>
      </c>
      <c r="F54">
        <v>16</v>
      </c>
      <c r="G54">
        <v>17</v>
      </c>
      <c r="H54">
        <v>14</v>
      </c>
      <c r="I54">
        <v>9</v>
      </c>
      <c r="J54">
        <v>15</v>
      </c>
      <c r="K54">
        <v>1</v>
      </c>
      <c r="L54">
        <v>1</v>
      </c>
      <c r="M54">
        <f t="shared" si="1"/>
        <v>73</v>
      </c>
      <c r="P54">
        <v>22</v>
      </c>
      <c r="Q54">
        <v>17</v>
      </c>
      <c r="R54">
        <v>14</v>
      </c>
      <c r="S54">
        <v>11</v>
      </c>
      <c r="T54">
        <v>21</v>
      </c>
      <c r="U54">
        <v>1</v>
      </c>
      <c r="V54">
        <v>1</v>
      </c>
      <c r="W54">
        <f t="shared" si="2"/>
        <v>87</v>
      </c>
      <c r="Z54">
        <f t="shared" si="3"/>
        <v>6</v>
      </c>
      <c r="AA54">
        <f t="shared" si="4"/>
        <v>0</v>
      </c>
      <c r="AB54">
        <f t="shared" si="5"/>
        <v>0</v>
      </c>
      <c r="AC54">
        <f t="shared" si="6"/>
        <v>2</v>
      </c>
      <c r="AD54">
        <f t="shared" si="7"/>
        <v>6</v>
      </c>
      <c r="AE54">
        <f t="shared" si="8"/>
        <v>0</v>
      </c>
      <c r="AF54">
        <f t="shared" si="9"/>
        <v>0</v>
      </c>
      <c r="AG54">
        <f t="shared" si="10"/>
        <v>14</v>
      </c>
    </row>
    <row r="55" spans="1:33" x14ac:dyDescent="0.25">
      <c r="A55" t="s">
        <v>162</v>
      </c>
      <c r="B55">
        <v>73</v>
      </c>
      <c r="C55">
        <v>91</v>
      </c>
      <c r="F55">
        <v>21</v>
      </c>
      <c r="G55">
        <v>14</v>
      </c>
      <c r="H55">
        <v>10</v>
      </c>
      <c r="I55">
        <v>8</v>
      </c>
      <c r="J55">
        <v>15</v>
      </c>
      <c r="K55">
        <v>2</v>
      </c>
      <c r="L55">
        <v>3</v>
      </c>
      <c r="M55">
        <f t="shared" si="1"/>
        <v>73</v>
      </c>
      <c r="P55">
        <v>24</v>
      </c>
      <c r="Q55">
        <v>23</v>
      </c>
      <c r="R55">
        <v>15</v>
      </c>
      <c r="S55">
        <v>9</v>
      </c>
      <c r="T55">
        <v>18</v>
      </c>
      <c r="U55">
        <v>1</v>
      </c>
      <c r="V55">
        <v>1</v>
      </c>
      <c r="W55">
        <f t="shared" si="2"/>
        <v>91</v>
      </c>
      <c r="Z55">
        <f t="shared" si="3"/>
        <v>3</v>
      </c>
      <c r="AA55">
        <f t="shared" si="4"/>
        <v>9</v>
      </c>
      <c r="AB55">
        <f t="shared" si="5"/>
        <v>5</v>
      </c>
      <c r="AC55">
        <f t="shared" si="6"/>
        <v>1</v>
      </c>
      <c r="AD55">
        <f t="shared" si="7"/>
        <v>3</v>
      </c>
      <c r="AE55">
        <f t="shared" si="8"/>
        <v>-1</v>
      </c>
      <c r="AF55">
        <f t="shared" si="9"/>
        <v>-2</v>
      </c>
      <c r="AG55">
        <f t="shared" si="10"/>
        <v>18</v>
      </c>
    </row>
    <row r="56" spans="1:33" x14ac:dyDescent="0.25">
      <c r="A56" t="s">
        <v>160</v>
      </c>
      <c r="B56">
        <v>39</v>
      </c>
      <c r="C56">
        <v>39</v>
      </c>
      <c r="F56">
        <v>8</v>
      </c>
      <c r="G56">
        <v>8</v>
      </c>
      <c r="H56">
        <v>8</v>
      </c>
      <c r="I56">
        <v>4</v>
      </c>
      <c r="J56">
        <v>9</v>
      </c>
      <c r="K56">
        <v>1</v>
      </c>
      <c r="L56">
        <v>1</v>
      </c>
      <c r="M56">
        <f t="shared" si="1"/>
        <v>39</v>
      </c>
      <c r="P56">
        <v>8</v>
      </c>
      <c r="Q56">
        <v>8</v>
      </c>
      <c r="R56">
        <v>8</v>
      </c>
      <c r="S56">
        <v>4</v>
      </c>
      <c r="T56">
        <v>9</v>
      </c>
      <c r="U56">
        <v>1</v>
      </c>
      <c r="V56">
        <v>1</v>
      </c>
      <c r="W56">
        <f t="shared" si="2"/>
        <v>39</v>
      </c>
      <c r="Z56">
        <f t="shared" si="3"/>
        <v>0</v>
      </c>
      <c r="AA56">
        <f t="shared" si="4"/>
        <v>0</v>
      </c>
      <c r="AB56">
        <f t="shared" si="5"/>
        <v>0</v>
      </c>
      <c r="AC56">
        <f t="shared" si="6"/>
        <v>0</v>
      </c>
      <c r="AD56">
        <f t="shared" si="7"/>
        <v>0</v>
      </c>
      <c r="AE56">
        <f t="shared" si="8"/>
        <v>0</v>
      </c>
      <c r="AF56">
        <f t="shared" si="9"/>
        <v>0</v>
      </c>
      <c r="AG56">
        <f t="shared" si="10"/>
        <v>0</v>
      </c>
    </row>
    <row r="57" spans="1:33" x14ac:dyDescent="0.25">
      <c r="A57" t="s">
        <v>173</v>
      </c>
      <c r="B57">
        <v>55</v>
      </c>
      <c r="C57">
        <v>56</v>
      </c>
      <c r="F57">
        <v>6</v>
      </c>
      <c r="G57">
        <v>16</v>
      </c>
      <c r="H57">
        <v>11</v>
      </c>
      <c r="I57">
        <v>9</v>
      </c>
      <c r="J57">
        <v>11</v>
      </c>
      <c r="K57">
        <v>1</v>
      </c>
      <c r="L57">
        <v>1</v>
      </c>
      <c r="M57">
        <f t="shared" si="1"/>
        <v>55</v>
      </c>
      <c r="P57">
        <v>5</v>
      </c>
      <c r="Q57">
        <v>15</v>
      </c>
      <c r="R57">
        <v>14</v>
      </c>
      <c r="S57">
        <v>9</v>
      </c>
      <c r="T57">
        <v>11</v>
      </c>
      <c r="U57">
        <v>1</v>
      </c>
      <c r="V57">
        <v>1</v>
      </c>
      <c r="W57">
        <f t="shared" si="2"/>
        <v>56</v>
      </c>
      <c r="Z57">
        <f t="shared" si="3"/>
        <v>-1</v>
      </c>
      <c r="AA57">
        <f t="shared" si="4"/>
        <v>-1</v>
      </c>
      <c r="AB57">
        <f t="shared" si="5"/>
        <v>3</v>
      </c>
      <c r="AC57">
        <f t="shared" si="6"/>
        <v>0</v>
      </c>
      <c r="AD57">
        <f t="shared" si="7"/>
        <v>0</v>
      </c>
      <c r="AE57">
        <f t="shared" si="8"/>
        <v>0</v>
      </c>
      <c r="AF57">
        <f t="shared" si="9"/>
        <v>0</v>
      </c>
      <c r="AG57">
        <f t="shared" si="10"/>
        <v>1</v>
      </c>
    </row>
    <row r="58" spans="1:33" x14ac:dyDescent="0.25">
      <c r="A58" t="s">
        <v>174</v>
      </c>
      <c r="B58">
        <v>106</v>
      </c>
      <c r="C58">
        <v>79</v>
      </c>
      <c r="F58">
        <v>16</v>
      </c>
      <c r="G58">
        <v>29</v>
      </c>
      <c r="H58">
        <v>25</v>
      </c>
      <c r="I58">
        <v>11</v>
      </c>
      <c r="J58">
        <v>21</v>
      </c>
      <c r="K58">
        <v>1</v>
      </c>
      <c r="L58">
        <v>3</v>
      </c>
      <c r="M58">
        <f t="shared" si="1"/>
        <v>106</v>
      </c>
      <c r="P58">
        <v>11</v>
      </c>
      <c r="Q58">
        <v>20</v>
      </c>
      <c r="R58">
        <v>21</v>
      </c>
      <c r="S58">
        <v>7</v>
      </c>
      <c r="T58">
        <v>17</v>
      </c>
      <c r="U58">
        <v>1</v>
      </c>
      <c r="V58">
        <v>2</v>
      </c>
      <c r="W58">
        <f t="shared" si="2"/>
        <v>79</v>
      </c>
      <c r="Z58">
        <f t="shared" si="3"/>
        <v>-5</v>
      </c>
      <c r="AA58">
        <f t="shared" si="4"/>
        <v>-9</v>
      </c>
      <c r="AB58">
        <f t="shared" si="5"/>
        <v>-4</v>
      </c>
      <c r="AC58">
        <f t="shared" si="6"/>
        <v>-4</v>
      </c>
      <c r="AD58">
        <f t="shared" si="7"/>
        <v>-4</v>
      </c>
      <c r="AE58">
        <f t="shared" si="8"/>
        <v>0</v>
      </c>
      <c r="AF58">
        <f t="shared" si="9"/>
        <v>-1</v>
      </c>
      <c r="AG58">
        <f t="shared" si="10"/>
        <v>-27</v>
      </c>
    </row>
    <row r="59" spans="1:33" x14ac:dyDescent="0.25">
      <c r="A59" t="s">
        <v>175</v>
      </c>
      <c r="B59">
        <v>74</v>
      </c>
      <c r="C59">
        <v>80</v>
      </c>
      <c r="F59">
        <v>11</v>
      </c>
      <c r="G59">
        <v>20</v>
      </c>
      <c r="H59">
        <v>14</v>
      </c>
      <c r="I59">
        <v>14</v>
      </c>
      <c r="J59">
        <v>11</v>
      </c>
      <c r="K59">
        <v>1</v>
      </c>
      <c r="L59">
        <v>3</v>
      </c>
      <c r="M59">
        <f t="shared" si="1"/>
        <v>74</v>
      </c>
      <c r="P59">
        <v>9</v>
      </c>
      <c r="Q59">
        <v>25</v>
      </c>
      <c r="R59">
        <v>17</v>
      </c>
      <c r="S59">
        <v>13</v>
      </c>
      <c r="T59">
        <v>12</v>
      </c>
      <c r="U59">
        <v>1</v>
      </c>
      <c r="V59">
        <v>3</v>
      </c>
      <c r="W59">
        <f t="shared" si="2"/>
        <v>80</v>
      </c>
      <c r="Z59">
        <f t="shared" si="3"/>
        <v>-2</v>
      </c>
      <c r="AA59">
        <f t="shared" si="4"/>
        <v>5</v>
      </c>
      <c r="AB59">
        <f t="shared" si="5"/>
        <v>3</v>
      </c>
      <c r="AC59">
        <f t="shared" si="6"/>
        <v>-1</v>
      </c>
      <c r="AD59">
        <f t="shared" si="7"/>
        <v>1</v>
      </c>
      <c r="AE59">
        <f t="shared" si="8"/>
        <v>0</v>
      </c>
      <c r="AF59">
        <f t="shared" si="9"/>
        <v>0</v>
      </c>
      <c r="AG59">
        <f t="shared" si="10"/>
        <v>6</v>
      </c>
    </row>
    <row r="60" spans="1:33" x14ac:dyDescent="0.25">
      <c r="A60" t="s">
        <v>187</v>
      </c>
      <c r="B60">
        <v>72</v>
      </c>
      <c r="C60">
        <v>64</v>
      </c>
      <c r="F60">
        <v>15</v>
      </c>
      <c r="G60">
        <v>15</v>
      </c>
      <c r="H60">
        <v>14</v>
      </c>
      <c r="I60">
        <v>10</v>
      </c>
      <c r="J60">
        <v>13</v>
      </c>
      <c r="K60">
        <v>2</v>
      </c>
      <c r="L60">
        <v>3</v>
      </c>
      <c r="M60">
        <f t="shared" si="1"/>
        <v>72</v>
      </c>
      <c r="P60" s="4">
        <v>13</v>
      </c>
      <c r="Q60" s="4">
        <v>13</v>
      </c>
      <c r="R60" s="4">
        <v>13</v>
      </c>
      <c r="S60" s="4">
        <v>8</v>
      </c>
      <c r="T60" s="4">
        <v>13</v>
      </c>
      <c r="U60" s="4">
        <v>1</v>
      </c>
      <c r="V60" s="4">
        <v>3</v>
      </c>
      <c r="W60">
        <f>SUM(P60:V60)</f>
        <v>64</v>
      </c>
      <c r="Z60">
        <f t="shared" si="3"/>
        <v>-2</v>
      </c>
      <c r="AA60">
        <f t="shared" si="4"/>
        <v>-2</v>
      </c>
      <c r="AB60">
        <f t="shared" si="5"/>
        <v>-1</v>
      </c>
      <c r="AC60">
        <f t="shared" si="6"/>
        <v>-2</v>
      </c>
      <c r="AD60">
        <f t="shared" si="7"/>
        <v>0</v>
      </c>
      <c r="AE60">
        <f t="shared" si="8"/>
        <v>-1</v>
      </c>
      <c r="AF60">
        <f t="shared" si="9"/>
        <v>0</v>
      </c>
      <c r="AG60">
        <f t="shared" si="10"/>
        <v>-8</v>
      </c>
    </row>
    <row r="61" spans="1:33" x14ac:dyDescent="0.25">
      <c r="A61" t="s">
        <v>186</v>
      </c>
      <c r="B61">
        <v>64</v>
      </c>
      <c r="C61">
        <v>64</v>
      </c>
      <c r="F61">
        <v>14</v>
      </c>
      <c r="G61">
        <v>13</v>
      </c>
      <c r="H61">
        <v>12</v>
      </c>
      <c r="I61">
        <v>12</v>
      </c>
      <c r="J61">
        <v>9</v>
      </c>
      <c r="K61">
        <v>1</v>
      </c>
      <c r="L61">
        <v>3</v>
      </c>
      <c r="M61">
        <f t="shared" si="1"/>
        <v>64</v>
      </c>
      <c r="P61" s="4">
        <v>14</v>
      </c>
      <c r="Q61" s="4">
        <v>16</v>
      </c>
      <c r="R61" s="4">
        <v>13</v>
      </c>
      <c r="S61" s="4">
        <v>10</v>
      </c>
      <c r="T61" s="4">
        <v>9</v>
      </c>
      <c r="U61" s="4">
        <v>1</v>
      </c>
      <c r="V61" s="4">
        <v>1</v>
      </c>
      <c r="W61">
        <f t="shared" si="2"/>
        <v>64</v>
      </c>
      <c r="Z61">
        <f t="shared" si="3"/>
        <v>0</v>
      </c>
      <c r="AA61">
        <f t="shared" si="4"/>
        <v>3</v>
      </c>
      <c r="AB61">
        <f t="shared" si="5"/>
        <v>1</v>
      </c>
      <c r="AC61">
        <f t="shared" si="6"/>
        <v>-2</v>
      </c>
      <c r="AD61">
        <f t="shared" si="7"/>
        <v>0</v>
      </c>
      <c r="AE61">
        <f t="shared" si="8"/>
        <v>0</v>
      </c>
      <c r="AF61">
        <f t="shared" si="9"/>
        <v>-2</v>
      </c>
      <c r="AG61">
        <f t="shared" si="10"/>
        <v>0</v>
      </c>
    </row>
    <row r="63" spans="1:33" x14ac:dyDescent="0.25">
      <c r="E63" s="25"/>
      <c r="F63" s="37"/>
      <c r="G63" s="37"/>
      <c r="H63" s="37"/>
      <c r="I63" s="37"/>
      <c r="J63" s="37"/>
      <c r="K63" s="37"/>
      <c r="L63" s="37"/>
      <c r="M63" s="37"/>
      <c r="Y63" s="25"/>
      <c r="Z63" s="37"/>
      <c r="AA63" s="37"/>
      <c r="AB63" s="37"/>
      <c r="AC63" s="37"/>
      <c r="AD63" s="37"/>
      <c r="AE63" s="37"/>
      <c r="AF63" s="37"/>
      <c r="AG63" s="37"/>
    </row>
    <row r="65" spans="5:33" x14ac:dyDescent="0.25">
      <c r="E65" s="25"/>
      <c r="F65" s="12"/>
      <c r="G65" s="12"/>
      <c r="H65" s="12"/>
      <c r="I65" s="12"/>
      <c r="J65" s="12"/>
      <c r="K65" s="12"/>
      <c r="L65" s="12"/>
      <c r="M65" s="12"/>
      <c r="Y65" s="25"/>
      <c r="Z65" s="12"/>
      <c r="AA65" s="12"/>
      <c r="AB65" s="12"/>
      <c r="AC65" s="12"/>
      <c r="AD65" s="12"/>
      <c r="AE65" s="12"/>
      <c r="AF65" s="12"/>
      <c r="AG65" s="12"/>
    </row>
    <row r="66" spans="5:33" x14ac:dyDescent="0.25">
      <c r="E66" s="25"/>
      <c r="F66" s="12"/>
      <c r="G66" s="12"/>
      <c r="H66" s="12"/>
      <c r="I66" s="12"/>
      <c r="J66" s="12"/>
      <c r="K66" s="12"/>
      <c r="L66" s="12"/>
      <c r="M66" s="12"/>
      <c r="Y66" s="25"/>
      <c r="Z66" s="12"/>
      <c r="AA66" s="12"/>
      <c r="AB66" s="12"/>
      <c r="AC66" s="12"/>
      <c r="AD66" s="12"/>
      <c r="AE66" s="12"/>
      <c r="AF66" s="12"/>
      <c r="AG66" s="12"/>
    </row>
    <row r="67" spans="5:33" x14ac:dyDescent="0.25">
      <c r="F67" s="12"/>
      <c r="G67" s="12"/>
      <c r="H67" s="12"/>
      <c r="I67" s="12"/>
      <c r="J67" s="12"/>
      <c r="K67" s="12"/>
      <c r="L67" s="12"/>
      <c r="M67" s="12"/>
    </row>
    <row r="68" spans="5:33" x14ac:dyDescent="0.25">
      <c r="E68" s="25"/>
      <c r="F68" s="12"/>
      <c r="G68" s="12"/>
      <c r="H68" s="12"/>
      <c r="I68" s="12"/>
      <c r="J68" s="12"/>
      <c r="K68" s="12"/>
      <c r="L68" s="12"/>
      <c r="M68" s="12"/>
      <c r="Y68" s="25"/>
      <c r="Z68" s="12"/>
      <c r="AA68" s="12"/>
      <c r="AB68" s="12"/>
      <c r="AC68" s="12"/>
      <c r="AD68" s="12"/>
      <c r="AE68" s="12"/>
      <c r="AF68" s="12"/>
      <c r="AG68" s="12"/>
    </row>
    <row r="69" spans="5:33" x14ac:dyDescent="0.25">
      <c r="E69" s="25"/>
      <c r="F69" s="12"/>
      <c r="G69" s="12"/>
      <c r="H69" s="12"/>
      <c r="I69" s="12"/>
      <c r="J69" s="12"/>
      <c r="K69" s="12"/>
      <c r="L69" s="12"/>
      <c r="M69" s="12"/>
      <c r="Y69" s="25"/>
      <c r="Z69" s="12"/>
      <c r="AA69" s="12"/>
      <c r="AB69" s="12"/>
      <c r="AC69" s="12"/>
      <c r="AD69" s="12"/>
      <c r="AE69" s="12"/>
      <c r="AF69" s="12"/>
      <c r="AG69" s="12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N30"/>
  <sheetViews>
    <sheetView zoomScale="85" zoomScaleNormal="85" workbookViewId="0">
      <selection activeCell="K43" sqref="K43"/>
    </sheetView>
  </sheetViews>
  <sheetFormatPr defaultRowHeight="15" x14ac:dyDescent="0.25"/>
  <sheetData>
    <row r="1" spans="1:40" s="25" customFormat="1" x14ac:dyDescent="0.25">
      <c r="B1" s="25" t="s">
        <v>18</v>
      </c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25" t="s">
        <v>24</v>
      </c>
      <c r="I1" s="25" t="s">
        <v>25</v>
      </c>
      <c r="J1" s="25" t="s">
        <v>26</v>
      </c>
      <c r="K1" s="25" t="s">
        <v>27</v>
      </c>
      <c r="L1" s="25" t="s">
        <v>28</v>
      </c>
      <c r="M1" s="25" t="s">
        <v>29</v>
      </c>
      <c r="N1" s="25" t="s">
        <v>30</v>
      </c>
      <c r="O1" s="25" t="s">
        <v>31</v>
      </c>
      <c r="P1" s="25" t="s">
        <v>32</v>
      </c>
      <c r="Q1" s="25" t="s">
        <v>33</v>
      </c>
      <c r="R1" s="25" t="s">
        <v>34</v>
      </c>
      <c r="S1" s="25" t="s">
        <v>35</v>
      </c>
      <c r="T1" s="25" t="s">
        <v>36</v>
      </c>
      <c r="U1" s="25" t="s">
        <v>37</v>
      </c>
      <c r="V1" s="25" t="s">
        <v>38</v>
      </c>
      <c r="W1" s="25" t="s">
        <v>39</v>
      </c>
      <c r="X1" s="25" t="s">
        <v>40</v>
      </c>
      <c r="Y1" s="25" t="s">
        <v>41</v>
      </c>
      <c r="Z1" s="25" t="s">
        <v>42</v>
      </c>
      <c r="AA1" s="25" t="s">
        <v>43</v>
      </c>
      <c r="AB1" s="25" t="s">
        <v>44</v>
      </c>
      <c r="AC1" s="25" t="s">
        <v>45</v>
      </c>
      <c r="AD1" s="25" t="s">
        <v>46</v>
      </c>
      <c r="AE1" s="25" t="s">
        <v>47</v>
      </c>
      <c r="AF1" s="25" t="s">
        <v>48</v>
      </c>
      <c r="AG1" s="25" t="s">
        <v>49</v>
      </c>
      <c r="AH1" s="25" t="s">
        <v>50</v>
      </c>
      <c r="AI1" s="25" t="s">
        <v>51</v>
      </c>
      <c r="AJ1" s="25" t="s">
        <v>52</v>
      </c>
      <c r="AK1" s="25" t="s">
        <v>53</v>
      </c>
      <c r="AL1" s="25" t="s">
        <v>54</v>
      </c>
      <c r="AM1" s="25" t="s">
        <v>55</v>
      </c>
      <c r="AN1" s="25" t="s">
        <v>56</v>
      </c>
    </row>
    <row r="2" spans="1:40" x14ac:dyDescent="0.25">
      <c r="A2" t="s">
        <v>3</v>
      </c>
      <c r="C2">
        <v>1</v>
      </c>
      <c r="G2">
        <v>1</v>
      </c>
      <c r="H2">
        <v>1</v>
      </c>
      <c r="J2">
        <v>1</v>
      </c>
      <c r="M2">
        <v>1</v>
      </c>
      <c r="O2">
        <v>1</v>
      </c>
      <c r="R2">
        <v>1</v>
      </c>
      <c r="S2">
        <v>1</v>
      </c>
      <c r="X2">
        <v>1</v>
      </c>
      <c r="AB2">
        <v>1</v>
      </c>
      <c r="AD2">
        <v>1</v>
      </c>
      <c r="AH2">
        <v>1</v>
      </c>
      <c r="AK2">
        <v>1</v>
      </c>
      <c r="AN2">
        <v>1</v>
      </c>
    </row>
    <row r="3" spans="1:40" x14ac:dyDescent="0.25">
      <c r="A3" t="s">
        <v>13</v>
      </c>
      <c r="H3">
        <v>1</v>
      </c>
      <c r="K3">
        <v>1</v>
      </c>
      <c r="P3">
        <v>1</v>
      </c>
      <c r="U3">
        <v>1</v>
      </c>
      <c r="V3">
        <v>1</v>
      </c>
      <c r="X3">
        <v>1</v>
      </c>
    </row>
    <row r="4" spans="1:40" x14ac:dyDescent="0.25">
      <c r="A4" t="s">
        <v>68</v>
      </c>
      <c r="B4">
        <v>1</v>
      </c>
      <c r="F4">
        <v>1</v>
      </c>
      <c r="I4">
        <v>1</v>
      </c>
      <c r="O4">
        <v>1</v>
      </c>
      <c r="X4">
        <v>1</v>
      </c>
      <c r="AA4">
        <v>1</v>
      </c>
      <c r="AB4">
        <v>1</v>
      </c>
      <c r="AF4">
        <v>1</v>
      </c>
    </row>
    <row r="5" spans="1:40" x14ac:dyDescent="0.25">
      <c r="A5" t="s">
        <v>69</v>
      </c>
    </row>
    <row r="6" spans="1:40" x14ac:dyDescent="0.25">
      <c r="A6" t="s">
        <v>70</v>
      </c>
      <c r="B6">
        <v>1</v>
      </c>
      <c r="F6">
        <v>1</v>
      </c>
      <c r="H6">
        <v>1</v>
      </c>
      <c r="I6">
        <v>1</v>
      </c>
      <c r="O6">
        <v>1</v>
      </c>
      <c r="T6">
        <v>1</v>
      </c>
      <c r="U6">
        <v>1</v>
      </c>
      <c r="X6">
        <v>1</v>
      </c>
      <c r="AB6">
        <v>1</v>
      </c>
      <c r="AD6">
        <v>1</v>
      </c>
      <c r="AE6">
        <v>1</v>
      </c>
      <c r="AG6">
        <v>1</v>
      </c>
    </row>
    <row r="7" spans="1:40" x14ac:dyDescent="0.25">
      <c r="A7" t="s">
        <v>74</v>
      </c>
      <c r="B7">
        <v>1</v>
      </c>
      <c r="H7">
        <v>1</v>
      </c>
      <c r="P7">
        <v>1</v>
      </c>
      <c r="T7">
        <v>1</v>
      </c>
      <c r="U7">
        <v>1</v>
      </c>
      <c r="W7">
        <v>1</v>
      </c>
      <c r="AD7">
        <v>1</v>
      </c>
      <c r="AL7">
        <v>1</v>
      </c>
    </row>
    <row r="8" spans="1:40" x14ac:dyDescent="0.25">
      <c r="A8" t="s">
        <v>79</v>
      </c>
      <c r="C8">
        <v>1</v>
      </c>
      <c r="D8">
        <v>1</v>
      </c>
      <c r="J8">
        <v>1</v>
      </c>
      <c r="O8">
        <v>1</v>
      </c>
      <c r="P8">
        <v>1</v>
      </c>
      <c r="Q8">
        <v>1</v>
      </c>
      <c r="T8">
        <v>1</v>
      </c>
      <c r="U8">
        <v>1</v>
      </c>
      <c r="X8">
        <v>1</v>
      </c>
      <c r="Z8">
        <v>1</v>
      </c>
      <c r="AE8">
        <v>1</v>
      </c>
    </row>
    <row r="9" spans="1:40" x14ac:dyDescent="0.25">
      <c r="A9" t="s">
        <v>80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</row>
    <row r="10" spans="1:40" x14ac:dyDescent="0.25">
      <c r="A10" t="s">
        <v>86</v>
      </c>
      <c r="D10">
        <v>1</v>
      </c>
      <c r="M10">
        <v>1</v>
      </c>
      <c r="N10">
        <v>1</v>
      </c>
      <c r="P10">
        <v>1</v>
      </c>
      <c r="R10">
        <v>1</v>
      </c>
      <c r="S10">
        <v>1</v>
      </c>
      <c r="U10">
        <v>1</v>
      </c>
      <c r="V10">
        <v>1</v>
      </c>
      <c r="X10">
        <v>1</v>
      </c>
      <c r="AB10">
        <v>1</v>
      </c>
      <c r="AD10">
        <v>1</v>
      </c>
      <c r="AH10">
        <v>1</v>
      </c>
      <c r="AK10">
        <v>1</v>
      </c>
      <c r="AM10">
        <v>1</v>
      </c>
    </row>
    <row r="11" spans="1:40" x14ac:dyDescent="0.25">
      <c r="A11" t="s">
        <v>92</v>
      </c>
      <c r="B11">
        <v>1</v>
      </c>
      <c r="D11">
        <v>2</v>
      </c>
      <c r="I11">
        <v>1</v>
      </c>
      <c r="P11">
        <v>1</v>
      </c>
      <c r="S11">
        <v>1</v>
      </c>
      <c r="U11">
        <v>1</v>
      </c>
      <c r="V11">
        <v>1</v>
      </c>
      <c r="W11">
        <v>1</v>
      </c>
      <c r="X11">
        <v>1</v>
      </c>
      <c r="AA11">
        <v>1</v>
      </c>
      <c r="AB11">
        <v>1</v>
      </c>
      <c r="AD11">
        <v>1</v>
      </c>
      <c r="AF11">
        <v>1</v>
      </c>
    </row>
    <row r="12" spans="1:40" x14ac:dyDescent="0.25">
      <c r="A12" t="s">
        <v>93</v>
      </c>
      <c r="F12">
        <v>1</v>
      </c>
      <c r="K12">
        <v>1</v>
      </c>
      <c r="O12">
        <v>1</v>
      </c>
      <c r="P12">
        <v>1</v>
      </c>
      <c r="Q12">
        <v>1</v>
      </c>
      <c r="U12">
        <v>1</v>
      </c>
      <c r="AN12">
        <v>1</v>
      </c>
    </row>
    <row r="13" spans="1:40" x14ac:dyDescent="0.25">
      <c r="A13" t="s">
        <v>110</v>
      </c>
      <c r="B13">
        <v>1</v>
      </c>
      <c r="C13">
        <v>1</v>
      </c>
      <c r="F13">
        <v>1</v>
      </c>
      <c r="K13">
        <v>1</v>
      </c>
      <c r="O13">
        <v>1</v>
      </c>
      <c r="Q13">
        <v>1</v>
      </c>
      <c r="U13">
        <v>1</v>
      </c>
      <c r="X13">
        <v>1</v>
      </c>
      <c r="Y13">
        <v>1</v>
      </c>
      <c r="AA13">
        <v>1</v>
      </c>
      <c r="AF13">
        <v>1</v>
      </c>
    </row>
    <row r="14" spans="1:40" x14ac:dyDescent="0.25">
      <c r="A14" t="s">
        <v>120</v>
      </c>
      <c r="B14">
        <v>1</v>
      </c>
      <c r="C14">
        <v>1</v>
      </c>
      <c r="F14">
        <v>1</v>
      </c>
      <c r="I14">
        <v>1</v>
      </c>
      <c r="J14">
        <v>1</v>
      </c>
      <c r="K14">
        <v>1</v>
      </c>
      <c r="M14">
        <v>1</v>
      </c>
      <c r="N14">
        <v>1</v>
      </c>
      <c r="P14">
        <v>1</v>
      </c>
      <c r="Q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AA14">
        <v>1</v>
      </c>
      <c r="AC14">
        <v>1</v>
      </c>
      <c r="AG14">
        <v>1</v>
      </c>
      <c r="AH14">
        <v>1</v>
      </c>
      <c r="AI14">
        <v>1</v>
      </c>
    </row>
    <row r="15" spans="1:40" x14ac:dyDescent="0.25">
      <c r="A15" t="s">
        <v>125</v>
      </c>
      <c r="C15">
        <v>1</v>
      </c>
      <c r="F15">
        <v>1</v>
      </c>
      <c r="G15">
        <v>1</v>
      </c>
      <c r="I15">
        <v>1</v>
      </c>
      <c r="K15">
        <v>1</v>
      </c>
      <c r="O15">
        <v>1</v>
      </c>
      <c r="P15">
        <v>1</v>
      </c>
      <c r="Q15">
        <v>1</v>
      </c>
      <c r="X15">
        <v>1</v>
      </c>
      <c r="AA15">
        <v>1</v>
      </c>
      <c r="AI15">
        <v>1</v>
      </c>
      <c r="AN15">
        <v>1</v>
      </c>
    </row>
    <row r="16" spans="1:40" x14ac:dyDescent="0.25">
      <c r="A16" t="s">
        <v>130</v>
      </c>
      <c r="I16">
        <v>1</v>
      </c>
      <c r="M16">
        <v>1</v>
      </c>
      <c r="O16">
        <v>1</v>
      </c>
      <c r="P16">
        <v>1</v>
      </c>
      <c r="Q16">
        <v>1</v>
      </c>
      <c r="T16">
        <v>1</v>
      </c>
      <c r="U16">
        <v>1</v>
      </c>
      <c r="W16">
        <v>1</v>
      </c>
      <c r="X16">
        <v>1</v>
      </c>
      <c r="Z16">
        <v>1</v>
      </c>
      <c r="AD16">
        <v>1</v>
      </c>
      <c r="AF16">
        <v>1</v>
      </c>
      <c r="AI16">
        <v>1</v>
      </c>
    </row>
    <row r="17" spans="1:40" x14ac:dyDescent="0.25">
      <c r="A17" t="s">
        <v>145</v>
      </c>
      <c r="F17">
        <v>1</v>
      </c>
      <c r="O17">
        <v>1</v>
      </c>
      <c r="P17">
        <v>1</v>
      </c>
      <c r="Q17">
        <v>1</v>
      </c>
      <c r="U17">
        <v>1</v>
      </c>
      <c r="W17">
        <v>1</v>
      </c>
      <c r="AA17">
        <v>1</v>
      </c>
      <c r="AC17">
        <v>1</v>
      </c>
      <c r="AD17">
        <v>1</v>
      </c>
      <c r="AF17">
        <v>1</v>
      </c>
      <c r="AI17">
        <v>1</v>
      </c>
      <c r="AL17">
        <v>1</v>
      </c>
    </row>
    <row r="18" spans="1:40" x14ac:dyDescent="0.25">
      <c r="A18" t="s">
        <v>144</v>
      </c>
      <c r="C18">
        <v>1</v>
      </c>
      <c r="K18">
        <v>1</v>
      </c>
      <c r="M18">
        <v>1</v>
      </c>
      <c r="Q18">
        <v>1</v>
      </c>
      <c r="U18">
        <v>1</v>
      </c>
      <c r="AC18">
        <v>1</v>
      </c>
    </row>
    <row r="19" spans="1:40" x14ac:dyDescent="0.25">
      <c r="A19" t="s">
        <v>132</v>
      </c>
      <c r="B19">
        <v>1</v>
      </c>
      <c r="C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K19">
        <v>1</v>
      </c>
      <c r="AL19">
        <v>1</v>
      </c>
      <c r="AM19">
        <v>1</v>
      </c>
    </row>
    <row r="20" spans="1:40" x14ac:dyDescent="0.25">
      <c r="A20" t="s">
        <v>146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</row>
    <row r="21" spans="1:40" x14ac:dyDescent="0.25">
      <c r="A21" t="s">
        <v>147</v>
      </c>
      <c r="B21">
        <v>1</v>
      </c>
      <c r="F21">
        <v>1</v>
      </c>
      <c r="G21">
        <v>1</v>
      </c>
      <c r="H21">
        <v>1</v>
      </c>
      <c r="I21">
        <v>1</v>
      </c>
      <c r="J21">
        <v>1</v>
      </c>
      <c r="O21">
        <v>1</v>
      </c>
      <c r="P21">
        <v>1</v>
      </c>
      <c r="Q21">
        <v>1</v>
      </c>
      <c r="S21">
        <v>1</v>
      </c>
      <c r="T21">
        <v>1</v>
      </c>
      <c r="U21">
        <v>1</v>
      </c>
      <c r="V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F21">
        <v>1</v>
      </c>
      <c r="AG21">
        <v>1</v>
      </c>
      <c r="AH21">
        <v>1</v>
      </c>
      <c r="AI21">
        <v>1</v>
      </c>
      <c r="AM21">
        <v>1</v>
      </c>
      <c r="AN21">
        <v>1</v>
      </c>
    </row>
    <row r="22" spans="1:40" x14ac:dyDescent="0.25">
      <c r="A22" t="s">
        <v>155</v>
      </c>
      <c r="C22">
        <v>1</v>
      </c>
      <c r="I22">
        <v>1</v>
      </c>
      <c r="N22">
        <v>1</v>
      </c>
      <c r="O22">
        <v>1</v>
      </c>
      <c r="P22">
        <v>1</v>
      </c>
      <c r="S22">
        <v>1</v>
      </c>
      <c r="T22">
        <v>1</v>
      </c>
      <c r="U22">
        <v>1</v>
      </c>
      <c r="V22">
        <v>1</v>
      </c>
      <c r="X22">
        <v>1</v>
      </c>
      <c r="AF22">
        <v>1</v>
      </c>
      <c r="AI22">
        <v>1</v>
      </c>
      <c r="AL22">
        <v>1</v>
      </c>
    </row>
    <row r="23" spans="1:40" x14ac:dyDescent="0.25">
      <c r="A23" t="s">
        <v>158</v>
      </c>
      <c r="B23">
        <v>1</v>
      </c>
      <c r="C23">
        <v>1</v>
      </c>
      <c r="D23">
        <v>1</v>
      </c>
      <c r="E23">
        <v>1</v>
      </c>
      <c r="H23">
        <v>1</v>
      </c>
      <c r="I23">
        <v>1</v>
      </c>
      <c r="J23">
        <v>1</v>
      </c>
      <c r="K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T23">
        <v>1</v>
      </c>
      <c r="U23">
        <v>1</v>
      </c>
      <c r="W23">
        <v>1</v>
      </c>
      <c r="X23">
        <v>1</v>
      </c>
      <c r="Y23">
        <v>1</v>
      </c>
      <c r="AA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K23">
        <v>1</v>
      </c>
    </row>
    <row r="24" spans="1:40" x14ac:dyDescent="0.25">
      <c r="A24" t="s">
        <v>162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</row>
    <row r="25" spans="1:40" x14ac:dyDescent="0.25">
      <c r="A25" t="s">
        <v>160</v>
      </c>
    </row>
    <row r="26" spans="1:40" x14ac:dyDescent="0.25">
      <c r="A26" t="s">
        <v>173</v>
      </c>
      <c r="I26">
        <v>1</v>
      </c>
      <c r="P26">
        <v>1</v>
      </c>
      <c r="U26">
        <v>1</v>
      </c>
      <c r="AD26">
        <v>1</v>
      </c>
    </row>
    <row r="27" spans="1:40" x14ac:dyDescent="0.25">
      <c r="A27" t="s">
        <v>174</v>
      </c>
      <c r="B27">
        <v>1</v>
      </c>
      <c r="C27">
        <v>1</v>
      </c>
      <c r="F27">
        <v>1</v>
      </c>
      <c r="I27">
        <v>1</v>
      </c>
      <c r="J27">
        <v>1</v>
      </c>
      <c r="O27">
        <v>1</v>
      </c>
      <c r="P27">
        <v>1</v>
      </c>
      <c r="T27">
        <v>1</v>
      </c>
      <c r="U27">
        <v>1</v>
      </c>
      <c r="V27">
        <v>1</v>
      </c>
      <c r="W27">
        <v>1</v>
      </c>
      <c r="X27">
        <v>1</v>
      </c>
      <c r="Z27">
        <v>1</v>
      </c>
      <c r="AB27">
        <v>1</v>
      </c>
      <c r="AC27">
        <v>1</v>
      </c>
      <c r="AD27">
        <v>1</v>
      </c>
      <c r="AF27">
        <v>1</v>
      </c>
      <c r="AH27">
        <v>1</v>
      </c>
      <c r="AL27">
        <v>1</v>
      </c>
      <c r="AN27">
        <v>1</v>
      </c>
    </row>
    <row r="28" spans="1:40" x14ac:dyDescent="0.25">
      <c r="A28" t="s">
        <v>175</v>
      </c>
      <c r="B28">
        <v>1</v>
      </c>
      <c r="C28">
        <v>1</v>
      </c>
      <c r="Q28">
        <v>1</v>
      </c>
      <c r="T28">
        <v>1</v>
      </c>
      <c r="U28">
        <v>1</v>
      </c>
      <c r="V28">
        <v>1</v>
      </c>
      <c r="X28">
        <v>1</v>
      </c>
      <c r="AA28">
        <v>1</v>
      </c>
      <c r="AC28">
        <v>1</v>
      </c>
    </row>
    <row r="29" spans="1:40" x14ac:dyDescent="0.25">
      <c r="A29" t="s">
        <v>187</v>
      </c>
      <c r="J29">
        <v>1</v>
      </c>
      <c r="O29">
        <v>1</v>
      </c>
      <c r="U29">
        <v>1</v>
      </c>
      <c r="AE29">
        <v>1</v>
      </c>
    </row>
    <row r="30" spans="1:40" x14ac:dyDescent="0.25">
      <c r="A30" t="s">
        <v>186</v>
      </c>
      <c r="B30">
        <v>1</v>
      </c>
      <c r="C30">
        <v>1</v>
      </c>
      <c r="D30">
        <v>1</v>
      </c>
      <c r="E30">
        <v>1</v>
      </c>
      <c r="F30">
        <v>1</v>
      </c>
      <c r="I30">
        <v>1</v>
      </c>
      <c r="N30">
        <v>1</v>
      </c>
      <c r="O30">
        <v>1</v>
      </c>
      <c r="P30">
        <v>1</v>
      </c>
      <c r="Q30">
        <v>1</v>
      </c>
      <c r="T30">
        <v>1</v>
      </c>
      <c r="U30">
        <v>1</v>
      </c>
      <c r="V30">
        <v>1</v>
      </c>
      <c r="X30">
        <v>1</v>
      </c>
      <c r="Y30">
        <v>1</v>
      </c>
      <c r="Z30">
        <v>1</v>
      </c>
      <c r="AA30">
        <v>1</v>
      </c>
      <c r="AC30">
        <v>1</v>
      </c>
      <c r="AD30">
        <v>1</v>
      </c>
      <c r="AE30">
        <v>1</v>
      </c>
      <c r="AG30">
        <v>1</v>
      </c>
      <c r="AI30">
        <v>1</v>
      </c>
      <c r="AK30">
        <v>1</v>
      </c>
      <c r="AM30">
        <v>1</v>
      </c>
      <c r="AN30">
        <v>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P30"/>
  <sheetViews>
    <sheetView zoomScale="70" zoomScaleNormal="70" workbookViewId="0">
      <selection activeCell="J44" sqref="J44"/>
    </sheetView>
  </sheetViews>
  <sheetFormatPr defaultRowHeight="15" x14ac:dyDescent="0.25"/>
  <sheetData>
    <row r="1" spans="1:42" s="25" customFormat="1" x14ac:dyDescent="0.25">
      <c r="B1" s="25" t="s">
        <v>18</v>
      </c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25" t="s">
        <v>24</v>
      </c>
      <c r="I1" s="25" t="s">
        <v>25</v>
      </c>
      <c r="J1" s="25" t="s">
        <v>26</v>
      </c>
      <c r="K1" s="25" t="s">
        <v>27</v>
      </c>
      <c r="L1" s="25" t="s">
        <v>28</v>
      </c>
      <c r="M1" s="25" t="s">
        <v>29</v>
      </c>
      <c r="N1" s="25" t="s">
        <v>30</v>
      </c>
      <c r="O1" s="25" t="s">
        <v>31</v>
      </c>
      <c r="P1" s="25" t="s">
        <v>32</v>
      </c>
      <c r="Q1" s="25" t="s">
        <v>33</v>
      </c>
      <c r="R1" s="25" t="s">
        <v>34</v>
      </c>
      <c r="S1" s="25" t="s">
        <v>35</v>
      </c>
      <c r="T1" s="25" t="s">
        <v>36</v>
      </c>
      <c r="U1" s="25" t="s">
        <v>37</v>
      </c>
      <c r="V1" s="25" t="s">
        <v>38</v>
      </c>
      <c r="W1" s="25" t="s">
        <v>39</v>
      </c>
      <c r="X1" s="25" t="s">
        <v>40</v>
      </c>
      <c r="Y1" s="25" t="s">
        <v>41</v>
      </c>
      <c r="Z1" s="25" t="s">
        <v>42</v>
      </c>
      <c r="AA1" s="25" t="s">
        <v>43</v>
      </c>
      <c r="AB1" s="25" t="s">
        <v>44</v>
      </c>
      <c r="AC1" s="25" t="s">
        <v>45</v>
      </c>
      <c r="AD1" s="25" t="s">
        <v>46</v>
      </c>
      <c r="AE1" s="25" t="s">
        <v>47</v>
      </c>
      <c r="AF1" s="25" t="s">
        <v>48</v>
      </c>
      <c r="AG1" s="25" t="s">
        <v>49</v>
      </c>
      <c r="AH1" s="25" t="s">
        <v>50</v>
      </c>
      <c r="AI1" s="25" t="s">
        <v>51</v>
      </c>
      <c r="AJ1" s="25" t="s">
        <v>52</v>
      </c>
      <c r="AK1" s="25" t="s">
        <v>53</v>
      </c>
      <c r="AL1" s="25" t="s">
        <v>54</v>
      </c>
      <c r="AM1" s="25" t="s">
        <v>55</v>
      </c>
      <c r="AN1" s="25" t="s">
        <v>56</v>
      </c>
      <c r="AP1" s="25" t="s">
        <v>59</v>
      </c>
    </row>
    <row r="2" spans="1:42" x14ac:dyDescent="0.25">
      <c r="A2" t="s">
        <v>3</v>
      </c>
      <c r="B2">
        <v>1</v>
      </c>
      <c r="C2">
        <v>23</v>
      </c>
      <c r="D2">
        <v>2</v>
      </c>
      <c r="E2">
        <v>3</v>
      </c>
      <c r="F2">
        <v>2</v>
      </c>
      <c r="G2">
        <v>2</v>
      </c>
      <c r="H2">
        <v>1</v>
      </c>
      <c r="I2">
        <v>2</v>
      </c>
      <c r="J2">
        <v>1</v>
      </c>
      <c r="K2">
        <v>2</v>
      </c>
      <c r="L2">
        <v>2</v>
      </c>
      <c r="M2">
        <v>1</v>
      </c>
      <c r="N2">
        <v>24</v>
      </c>
      <c r="O2">
        <v>1</v>
      </c>
      <c r="P2">
        <v>1</v>
      </c>
      <c r="Q2">
        <v>2</v>
      </c>
      <c r="R2">
        <v>23</v>
      </c>
      <c r="S2">
        <v>1</v>
      </c>
      <c r="T2">
        <v>1</v>
      </c>
      <c r="U2">
        <v>1</v>
      </c>
      <c r="V2">
        <v>1</v>
      </c>
      <c r="W2">
        <v>1</v>
      </c>
      <c r="X2">
        <v>234</v>
      </c>
      <c r="Y2">
        <v>4</v>
      </c>
      <c r="Z2">
        <v>2</v>
      </c>
      <c r="AA2">
        <v>1</v>
      </c>
      <c r="AB2">
        <v>14</v>
      </c>
      <c r="AC2">
        <v>1</v>
      </c>
      <c r="AD2">
        <v>1</v>
      </c>
      <c r="AE2">
        <v>34</v>
      </c>
      <c r="AF2">
        <v>24</v>
      </c>
      <c r="AG2">
        <v>34</v>
      </c>
      <c r="AH2">
        <v>23</v>
      </c>
      <c r="AI2">
        <v>2</v>
      </c>
      <c r="AJ2">
        <v>34</v>
      </c>
      <c r="AK2">
        <v>24</v>
      </c>
      <c r="AL2">
        <v>2</v>
      </c>
      <c r="AM2">
        <v>1</v>
      </c>
      <c r="AN2">
        <v>1</v>
      </c>
    </row>
    <row r="3" spans="1:42" x14ac:dyDescent="0.25">
      <c r="A3" t="s">
        <v>13</v>
      </c>
      <c r="B3">
        <v>1</v>
      </c>
      <c r="C3">
        <v>2</v>
      </c>
      <c r="D3">
        <v>4</v>
      </c>
      <c r="E3">
        <v>4</v>
      </c>
      <c r="F3">
        <v>5</v>
      </c>
      <c r="G3">
        <v>2</v>
      </c>
      <c r="H3">
        <v>1</v>
      </c>
      <c r="I3">
        <v>4</v>
      </c>
      <c r="J3">
        <v>1</v>
      </c>
      <c r="K3">
        <v>5</v>
      </c>
      <c r="L3">
        <v>2</v>
      </c>
      <c r="M3">
        <v>4</v>
      </c>
      <c r="N3">
        <v>4</v>
      </c>
      <c r="O3">
        <v>1</v>
      </c>
      <c r="P3">
        <v>1</v>
      </c>
      <c r="Q3">
        <v>2</v>
      </c>
      <c r="R3">
        <v>4</v>
      </c>
      <c r="S3">
        <v>5</v>
      </c>
      <c r="T3">
        <v>1</v>
      </c>
      <c r="U3">
        <v>1</v>
      </c>
      <c r="V3">
        <v>1</v>
      </c>
      <c r="W3">
        <v>1</v>
      </c>
      <c r="X3">
        <v>3</v>
      </c>
      <c r="Y3">
        <v>4</v>
      </c>
      <c r="Z3">
        <v>5</v>
      </c>
      <c r="AA3">
        <v>1</v>
      </c>
      <c r="AB3">
        <v>1</v>
      </c>
      <c r="AC3">
        <v>1</v>
      </c>
      <c r="AD3">
        <v>1</v>
      </c>
      <c r="AE3">
        <v>4</v>
      </c>
      <c r="AF3">
        <v>1</v>
      </c>
      <c r="AG3">
        <v>2</v>
      </c>
      <c r="AH3">
        <v>2</v>
      </c>
      <c r="AI3">
        <v>2</v>
      </c>
      <c r="AJ3">
        <v>4</v>
      </c>
      <c r="AK3">
        <v>5</v>
      </c>
      <c r="AL3">
        <v>5</v>
      </c>
      <c r="AM3">
        <v>1</v>
      </c>
      <c r="AN3">
        <v>1</v>
      </c>
      <c r="AP3" t="s">
        <v>60</v>
      </c>
    </row>
    <row r="4" spans="1:42" x14ac:dyDescent="0.25">
      <c r="A4" t="s">
        <v>68</v>
      </c>
      <c r="B4">
        <v>1</v>
      </c>
      <c r="C4">
        <v>4</v>
      </c>
      <c r="D4">
        <v>4</v>
      </c>
      <c r="E4">
        <v>3</v>
      </c>
      <c r="F4">
        <v>2</v>
      </c>
      <c r="G4">
        <v>4</v>
      </c>
      <c r="H4">
        <v>1</v>
      </c>
      <c r="I4">
        <v>3</v>
      </c>
      <c r="J4">
        <v>1</v>
      </c>
      <c r="K4">
        <v>2</v>
      </c>
      <c r="L4">
        <v>4</v>
      </c>
      <c r="M4">
        <v>2</v>
      </c>
      <c r="N4">
        <v>4</v>
      </c>
      <c r="O4">
        <v>1</v>
      </c>
      <c r="P4">
        <v>1</v>
      </c>
      <c r="Q4">
        <v>2</v>
      </c>
      <c r="R4">
        <v>4</v>
      </c>
      <c r="S4">
        <v>4</v>
      </c>
      <c r="T4">
        <v>1</v>
      </c>
      <c r="U4">
        <v>1</v>
      </c>
      <c r="V4">
        <v>1</v>
      </c>
      <c r="W4">
        <v>1</v>
      </c>
      <c r="X4">
        <v>2</v>
      </c>
      <c r="Y4">
        <v>2</v>
      </c>
      <c r="Z4">
        <v>2</v>
      </c>
      <c r="AA4">
        <v>2</v>
      </c>
      <c r="AB4">
        <v>1</v>
      </c>
      <c r="AC4">
        <v>1</v>
      </c>
      <c r="AD4">
        <v>1</v>
      </c>
      <c r="AE4">
        <v>4</v>
      </c>
      <c r="AF4">
        <v>1</v>
      </c>
      <c r="AG4">
        <v>2</v>
      </c>
      <c r="AH4">
        <v>2</v>
      </c>
      <c r="AI4">
        <v>2</v>
      </c>
      <c r="AJ4">
        <v>4</v>
      </c>
      <c r="AK4">
        <v>2</v>
      </c>
      <c r="AL4">
        <v>2</v>
      </c>
      <c r="AM4">
        <v>1</v>
      </c>
      <c r="AN4">
        <v>1</v>
      </c>
    </row>
    <row r="5" spans="1:42" x14ac:dyDescent="0.25">
      <c r="A5" t="s">
        <v>69</v>
      </c>
      <c r="B5">
        <v>1</v>
      </c>
      <c r="C5">
        <v>234</v>
      </c>
      <c r="D5">
        <v>234</v>
      </c>
      <c r="E5">
        <v>3</v>
      </c>
      <c r="F5">
        <v>2</v>
      </c>
      <c r="G5">
        <v>2</v>
      </c>
      <c r="H5">
        <v>1</v>
      </c>
      <c r="I5">
        <v>34</v>
      </c>
      <c r="J5">
        <v>1</v>
      </c>
      <c r="K5">
        <v>2</v>
      </c>
      <c r="L5">
        <v>234</v>
      </c>
      <c r="M5">
        <v>24</v>
      </c>
      <c r="N5">
        <v>234</v>
      </c>
      <c r="O5">
        <v>1</v>
      </c>
      <c r="P5">
        <v>14</v>
      </c>
      <c r="Q5">
        <v>2</v>
      </c>
      <c r="R5">
        <v>24</v>
      </c>
      <c r="S5">
        <v>2</v>
      </c>
      <c r="T5">
        <v>1</v>
      </c>
      <c r="U5">
        <v>14</v>
      </c>
      <c r="V5">
        <v>2</v>
      </c>
      <c r="W5">
        <v>1</v>
      </c>
      <c r="X5">
        <v>23</v>
      </c>
      <c r="Y5">
        <v>4</v>
      </c>
      <c r="Z5">
        <v>2</v>
      </c>
      <c r="AA5">
        <v>1</v>
      </c>
      <c r="AB5">
        <v>1</v>
      </c>
      <c r="AC5">
        <v>1</v>
      </c>
      <c r="AD5">
        <v>1</v>
      </c>
      <c r="AE5">
        <v>234</v>
      </c>
      <c r="AF5">
        <v>1</v>
      </c>
      <c r="AG5">
        <v>2</v>
      </c>
      <c r="AH5">
        <v>23</v>
      </c>
      <c r="AI5">
        <v>2</v>
      </c>
      <c r="AJ5">
        <v>24</v>
      </c>
      <c r="AK5">
        <v>2</v>
      </c>
      <c r="AL5">
        <v>2</v>
      </c>
      <c r="AM5">
        <v>1</v>
      </c>
      <c r="AN5">
        <v>1</v>
      </c>
    </row>
    <row r="6" spans="1:42" x14ac:dyDescent="0.25">
      <c r="A6" t="s">
        <v>70</v>
      </c>
      <c r="B6">
        <v>1</v>
      </c>
      <c r="C6">
        <v>2</v>
      </c>
      <c r="D6">
        <v>4</v>
      </c>
      <c r="E6">
        <v>3</v>
      </c>
      <c r="F6">
        <v>5</v>
      </c>
      <c r="G6">
        <v>4</v>
      </c>
      <c r="H6">
        <v>1</v>
      </c>
      <c r="I6">
        <v>3</v>
      </c>
      <c r="J6">
        <v>1</v>
      </c>
      <c r="K6">
        <v>2</v>
      </c>
      <c r="L6">
        <v>2</v>
      </c>
      <c r="M6">
        <v>1</v>
      </c>
      <c r="N6">
        <v>2</v>
      </c>
      <c r="O6">
        <v>1</v>
      </c>
      <c r="P6">
        <v>1</v>
      </c>
      <c r="Q6">
        <v>2</v>
      </c>
      <c r="R6">
        <v>2</v>
      </c>
      <c r="S6">
        <v>4</v>
      </c>
      <c r="T6">
        <v>1</v>
      </c>
      <c r="U6">
        <v>1</v>
      </c>
      <c r="V6">
        <v>1</v>
      </c>
      <c r="W6">
        <v>1</v>
      </c>
      <c r="X6">
        <v>3</v>
      </c>
      <c r="Y6">
        <v>4</v>
      </c>
      <c r="Z6">
        <v>5</v>
      </c>
      <c r="AA6">
        <v>1</v>
      </c>
      <c r="AB6">
        <v>1</v>
      </c>
      <c r="AC6">
        <v>1</v>
      </c>
      <c r="AD6">
        <v>1</v>
      </c>
      <c r="AE6">
        <v>3</v>
      </c>
      <c r="AF6">
        <v>1</v>
      </c>
      <c r="AG6">
        <v>2</v>
      </c>
      <c r="AH6">
        <v>2</v>
      </c>
      <c r="AI6">
        <v>2</v>
      </c>
      <c r="AJ6">
        <v>2</v>
      </c>
      <c r="AK6">
        <v>2</v>
      </c>
      <c r="AL6">
        <v>5</v>
      </c>
      <c r="AM6">
        <v>1</v>
      </c>
      <c r="AN6">
        <v>1</v>
      </c>
      <c r="AP6" t="s">
        <v>60</v>
      </c>
    </row>
    <row r="7" spans="1:42" x14ac:dyDescent="0.25">
      <c r="A7" t="s">
        <v>74</v>
      </c>
      <c r="B7">
        <v>1</v>
      </c>
      <c r="C7">
        <v>4</v>
      </c>
      <c r="D7">
        <v>4</v>
      </c>
      <c r="E7">
        <v>2</v>
      </c>
      <c r="F7">
        <v>2</v>
      </c>
      <c r="G7">
        <v>2</v>
      </c>
      <c r="H7">
        <v>1</v>
      </c>
      <c r="I7">
        <v>2</v>
      </c>
      <c r="J7">
        <v>1</v>
      </c>
      <c r="K7">
        <v>2</v>
      </c>
      <c r="L7">
        <v>3</v>
      </c>
      <c r="M7">
        <v>3</v>
      </c>
      <c r="N7">
        <v>2</v>
      </c>
      <c r="O7">
        <v>1</v>
      </c>
      <c r="P7">
        <v>1</v>
      </c>
      <c r="Q7">
        <v>2</v>
      </c>
      <c r="R7">
        <v>2</v>
      </c>
      <c r="S7">
        <v>1</v>
      </c>
      <c r="T7">
        <v>1</v>
      </c>
      <c r="U7">
        <v>1</v>
      </c>
      <c r="V7">
        <v>1</v>
      </c>
      <c r="W7">
        <v>1</v>
      </c>
      <c r="X7">
        <v>3</v>
      </c>
      <c r="Y7">
        <v>4</v>
      </c>
      <c r="Z7">
        <v>2</v>
      </c>
      <c r="AA7">
        <v>1</v>
      </c>
      <c r="AB7">
        <v>1</v>
      </c>
      <c r="AC7">
        <v>1</v>
      </c>
      <c r="AD7">
        <v>1</v>
      </c>
      <c r="AE7">
        <v>4</v>
      </c>
      <c r="AF7">
        <v>1</v>
      </c>
      <c r="AG7">
        <v>2</v>
      </c>
      <c r="AH7">
        <v>2</v>
      </c>
      <c r="AI7">
        <v>2</v>
      </c>
      <c r="AJ7">
        <v>3</v>
      </c>
      <c r="AK7">
        <v>2</v>
      </c>
      <c r="AL7">
        <v>2</v>
      </c>
      <c r="AM7">
        <v>1</v>
      </c>
      <c r="AN7">
        <v>1</v>
      </c>
    </row>
    <row r="8" spans="1:42" x14ac:dyDescent="0.25">
      <c r="A8" t="s">
        <v>79</v>
      </c>
      <c r="B8">
        <v>1</v>
      </c>
      <c r="C8">
        <v>2</v>
      </c>
      <c r="D8">
        <v>4</v>
      </c>
      <c r="E8">
        <v>3</v>
      </c>
      <c r="F8">
        <v>2</v>
      </c>
      <c r="G8">
        <v>4</v>
      </c>
      <c r="H8">
        <v>1</v>
      </c>
      <c r="I8">
        <v>3</v>
      </c>
      <c r="J8">
        <v>1</v>
      </c>
      <c r="K8">
        <v>2</v>
      </c>
      <c r="L8">
        <v>2</v>
      </c>
      <c r="M8">
        <v>4</v>
      </c>
      <c r="N8">
        <v>2</v>
      </c>
      <c r="O8">
        <v>1</v>
      </c>
      <c r="P8">
        <v>1</v>
      </c>
      <c r="Q8">
        <v>2</v>
      </c>
      <c r="R8">
        <v>3</v>
      </c>
      <c r="S8">
        <v>4</v>
      </c>
      <c r="T8">
        <v>1</v>
      </c>
      <c r="U8">
        <v>1</v>
      </c>
      <c r="V8">
        <v>1</v>
      </c>
      <c r="W8">
        <v>1</v>
      </c>
      <c r="X8">
        <v>3</v>
      </c>
      <c r="Y8">
        <v>4</v>
      </c>
      <c r="Z8">
        <v>2</v>
      </c>
      <c r="AA8">
        <v>1</v>
      </c>
      <c r="AB8">
        <v>1</v>
      </c>
      <c r="AC8">
        <v>1</v>
      </c>
      <c r="AD8">
        <v>1</v>
      </c>
      <c r="AE8">
        <v>3</v>
      </c>
      <c r="AF8">
        <v>4</v>
      </c>
      <c r="AG8">
        <v>2</v>
      </c>
      <c r="AH8">
        <v>2</v>
      </c>
      <c r="AI8">
        <v>2</v>
      </c>
      <c r="AJ8">
        <v>3</v>
      </c>
      <c r="AK8">
        <v>2</v>
      </c>
      <c r="AL8">
        <v>2</v>
      </c>
      <c r="AM8">
        <v>1</v>
      </c>
      <c r="AN8">
        <v>1</v>
      </c>
    </row>
    <row r="9" spans="1:42" x14ac:dyDescent="0.25">
      <c r="A9" t="s">
        <v>80</v>
      </c>
      <c r="B9">
        <v>1</v>
      </c>
      <c r="C9">
        <v>2</v>
      </c>
      <c r="D9">
        <v>4</v>
      </c>
      <c r="E9">
        <v>3</v>
      </c>
      <c r="F9">
        <v>2</v>
      </c>
      <c r="G9">
        <v>4</v>
      </c>
      <c r="H9">
        <v>1</v>
      </c>
      <c r="I9">
        <v>35</v>
      </c>
      <c r="J9">
        <v>1</v>
      </c>
      <c r="K9">
        <v>2</v>
      </c>
      <c r="L9">
        <v>24</v>
      </c>
      <c r="M9">
        <v>2</v>
      </c>
      <c r="N9">
        <v>124</v>
      </c>
      <c r="O9">
        <v>1</v>
      </c>
      <c r="P9">
        <v>1</v>
      </c>
      <c r="Q9">
        <v>2</v>
      </c>
      <c r="R9">
        <v>4</v>
      </c>
      <c r="S9">
        <v>4</v>
      </c>
      <c r="T9">
        <v>1</v>
      </c>
      <c r="U9">
        <v>1</v>
      </c>
      <c r="V9">
        <v>1</v>
      </c>
      <c r="W9">
        <v>1</v>
      </c>
      <c r="X9">
        <v>3</v>
      </c>
      <c r="Y9">
        <v>4</v>
      </c>
      <c r="Z9">
        <v>2</v>
      </c>
      <c r="AA9">
        <v>2</v>
      </c>
      <c r="AB9">
        <v>1</v>
      </c>
      <c r="AC9">
        <v>1</v>
      </c>
      <c r="AD9">
        <v>1</v>
      </c>
      <c r="AE9">
        <v>34</v>
      </c>
      <c r="AF9">
        <v>2</v>
      </c>
      <c r="AG9">
        <v>4</v>
      </c>
      <c r="AH9">
        <v>234</v>
      </c>
      <c r="AI9">
        <v>2</v>
      </c>
      <c r="AJ9">
        <v>4</v>
      </c>
      <c r="AK9">
        <v>2</v>
      </c>
      <c r="AL9">
        <v>12</v>
      </c>
      <c r="AM9">
        <v>1</v>
      </c>
      <c r="AN9">
        <v>1</v>
      </c>
    </row>
    <row r="10" spans="1:42" x14ac:dyDescent="0.25">
      <c r="A10" t="s">
        <v>86</v>
      </c>
      <c r="B10">
        <v>1</v>
      </c>
      <c r="C10">
        <v>2</v>
      </c>
      <c r="D10">
        <v>2</v>
      </c>
      <c r="E10">
        <v>3</v>
      </c>
      <c r="F10">
        <v>2</v>
      </c>
      <c r="G10">
        <v>4</v>
      </c>
      <c r="H10">
        <v>1</v>
      </c>
      <c r="I10">
        <v>3</v>
      </c>
      <c r="J10">
        <v>1</v>
      </c>
      <c r="K10">
        <v>5</v>
      </c>
      <c r="L10">
        <v>2</v>
      </c>
      <c r="M10">
        <v>2</v>
      </c>
      <c r="N10">
        <v>2</v>
      </c>
      <c r="O10">
        <v>1</v>
      </c>
      <c r="P10">
        <v>1</v>
      </c>
      <c r="Q10">
        <v>2</v>
      </c>
      <c r="R10">
        <v>3</v>
      </c>
      <c r="S10">
        <v>5</v>
      </c>
      <c r="T10">
        <v>1</v>
      </c>
      <c r="U10">
        <v>1</v>
      </c>
      <c r="V10">
        <v>1</v>
      </c>
      <c r="W10">
        <v>1</v>
      </c>
      <c r="X10">
        <v>3</v>
      </c>
      <c r="Y10">
        <v>5</v>
      </c>
      <c r="Z10">
        <v>5</v>
      </c>
      <c r="AA10">
        <v>1</v>
      </c>
      <c r="AB10">
        <v>2</v>
      </c>
      <c r="AC10">
        <v>1</v>
      </c>
      <c r="AD10">
        <v>1</v>
      </c>
      <c r="AE10">
        <v>3</v>
      </c>
      <c r="AF10">
        <v>1</v>
      </c>
      <c r="AG10">
        <v>2</v>
      </c>
      <c r="AH10">
        <v>2</v>
      </c>
      <c r="AI10">
        <v>5</v>
      </c>
      <c r="AJ10">
        <v>2</v>
      </c>
      <c r="AK10">
        <v>2</v>
      </c>
      <c r="AL10">
        <v>0</v>
      </c>
      <c r="AM10">
        <v>1</v>
      </c>
      <c r="AN10">
        <v>1</v>
      </c>
      <c r="AP10" t="s">
        <v>87</v>
      </c>
    </row>
    <row r="11" spans="1:42" x14ac:dyDescent="0.25">
      <c r="A11" t="s">
        <v>92</v>
      </c>
      <c r="B11">
        <v>1</v>
      </c>
      <c r="C11">
        <v>3</v>
      </c>
      <c r="D11">
        <v>2</v>
      </c>
      <c r="E11">
        <v>4</v>
      </c>
      <c r="G11">
        <v>34</v>
      </c>
      <c r="H11">
        <v>1</v>
      </c>
      <c r="I11">
        <v>3</v>
      </c>
      <c r="J11">
        <v>5</v>
      </c>
      <c r="K11">
        <v>5</v>
      </c>
      <c r="L11">
        <v>4</v>
      </c>
      <c r="M11">
        <v>4</v>
      </c>
      <c r="N11">
        <v>4</v>
      </c>
      <c r="O11">
        <v>2</v>
      </c>
      <c r="P11">
        <v>1</v>
      </c>
      <c r="Q11">
        <v>2</v>
      </c>
      <c r="R11">
        <v>3</v>
      </c>
      <c r="S11">
        <v>1</v>
      </c>
      <c r="T11">
        <v>1</v>
      </c>
      <c r="U11">
        <v>1</v>
      </c>
      <c r="V11">
        <v>1</v>
      </c>
      <c r="W11">
        <v>1</v>
      </c>
      <c r="X11">
        <v>3</v>
      </c>
      <c r="Y11">
        <v>5</v>
      </c>
      <c r="AB11">
        <v>1</v>
      </c>
      <c r="AC11">
        <v>1</v>
      </c>
      <c r="AD11">
        <v>34</v>
      </c>
      <c r="AE11">
        <v>3</v>
      </c>
      <c r="AF11">
        <v>2</v>
      </c>
      <c r="AG11">
        <v>4</v>
      </c>
      <c r="AH11">
        <v>2</v>
      </c>
      <c r="AI11">
        <v>3</v>
      </c>
      <c r="AJ11">
        <v>4</v>
      </c>
      <c r="AK11">
        <v>3</v>
      </c>
      <c r="AL11">
        <v>2</v>
      </c>
      <c r="AM11">
        <v>3</v>
      </c>
      <c r="AN11">
        <v>5</v>
      </c>
      <c r="AP11" t="s">
        <v>94</v>
      </c>
    </row>
    <row r="12" spans="1:42" x14ac:dyDescent="0.25">
      <c r="A12" t="s">
        <v>93</v>
      </c>
      <c r="B12">
        <v>1</v>
      </c>
      <c r="C12">
        <v>2</v>
      </c>
      <c r="D12">
        <v>2</v>
      </c>
      <c r="E12">
        <v>2</v>
      </c>
      <c r="F12">
        <v>2</v>
      </c>
      <c r="G12">
        <v>3</v>
      </c>
      <c r="H12">
        <v>1</v>
      </c>
      <c r="I12">
        <v>3</v>
      </c>
      <c r="J12">
        <v>1</v>
      </c>
      <c r="K12">
        <v>5</v>
      </c>
      <c r="L12">
        <v>4</v>
      </c>
      <c r="M12">
        <v>4</v>
      </c>
      <c r="N12">
        <v>2</v>
      </c>
      <c r="O12">
        <v>5</v>
      </c>
      <c r="P12">
        <v>1</v>
      </c>
      <c r="Q12">
        <v>2</v>
      </c>
      <c r="R12">
        <v>2</v>
      </c>
      <c r="S12">
        <v>5</v>
      </c>
      <c r="T12">
        <v>1</v>
      </c>
      <c r="U12">
        <v>1</v>
      </c>
      <c r="V12">
        <v>1</v>
      </c>
      <c r="W12">
        <v>1</v>
      </c>
      <c r="X12">
        <v>3</v>
      </c>
      <c r="Y12">
        <v>4</v>
      </c>
      <c r="Z12">
        <v>1</v>
      </c>
      <c r="AA12">
        <v>5</v>
      </c>
      <c r="AB12">
        <v>1</v>
      </c>
      <c r="AC12">
        <v>1</v>
      </c>
      <c r="AD12">
        <v>1</v>
      </c>
      <c r="AE12">
        <v>3</v>
      </c>
      <c r="AF12">
        <v>5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5</v>
      </c>
      <c r="AM12">
        <v>1</v>
      </c>
      <c r="AN12">
        <v>1</v>
      </c>
    </row>
    <row r="13" spans="1:42" x14ac:dyDescent="0.25">
      <c r="A13" t="s">
        <v>110</v>
      </c>
      <c r="B13">
        <v>1</v>
      </c>
      <c r="C13">
        <v>2</v>
      </c>
      <c r="D13">
        <v>4</v>
      </c>
      <c r="E13">
        <v>2</v>
      </c>
      <c r="F13">
        <v>5</v>
      </c>
      <c r="G13">
        <v>2</v>
      </c>
      <c r="H13">
        <v>1</v>
      </c>
      <c r="I13">
        <v>4</v>
      </c>
      <c r="J13">
        <v>1</v>
      </c>
      <c r="K13">
        <v>2</v>
      </c>
      <c r="L13">
        <v>2</v>
      </c>
      <c r="M13">
        <v>1</v>
      </c>
      <c r="N13">
        <v>2</v>
      </c>
      <c r="O13">
        <v>1</v>
      </c>
      <c r="P13">
        <v>1</v>
      </c>
      <c r="Q13">
        <v>2</v>
      </c>
      <c r="R13">
        <v>4</v>
      </c>
      <c r="S13">
        <v>4</v>
      </c>
      <c r="T13">
        <v>1</v>
      </c>
      <c r="U13">
        <v>1</v>
      </c>
      <c r="V13">
        <v>1</v>
      </c>
      <c r="W13">
        <v>1</v>
      </c>
      <c r="X13">
        <v>2</v>
      </c>
      <c r="Y13">
        <v>4</v>
      </c>
      <c r="Z13">
        <v>5</v>
      </c>
      <c r="AA13">
        <v>1</v>
      </c>
      <c r="AB13">
        <v>4</v>
      </c>
      <c r="AC13">
        <v>1</v>
      </c>
      <c r="AD13">
        <v>1</v>
      </c>
      <c r="AE13">
        <v>4</v>
      </c>
      <c r="AF13">
        <v>1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5</v>
      </c>
      <c r="AM13">
        <v>1</v>
      </c>
      <c r="AN13">
        <v>1</v>
      </c>
      <c r="AP13" t="s">
        <v>60</v>
      </c>
    </row>
    <row r="14" spans="1:42" x14ac:dyDescent="0.25">
      <c r="A14" t="s">
        <v>120</v>
      </c>
      <c r="B14">
        <v>1</v>
      </c>
      <c r="C14">
        <v>2</v>
      </c>
      <c r="D14">
        <v>4</v>
      </c>
      <c r="E14">
        <v>4</v>
      </c>
      <c r="F14">
        <v>2</v>
      </c>
      <c r="G14">
        <v>2</v>
      </c>
      <c r="H14">
        <v>1</v>
      </c>
      <c r="I14">
        <v>2</v>
      </c>
      <c r="J14">
        <v>1</v>
      </c>
      <c r="K14">
        <v>2</v>
      </c>
      <c r="L14">
        <v>3</v>
      </c>
      <c r="M14">
        <v>1</v>
      </c>
      <c r="N14">
        <v>2</v>
      </c>
      <c r="O14">
        <v>1</v>
      </c>
      <c r="P14">
        <v>1</v>
      </c>
      <c r="Q14">
        <v>2</v>
      </c>
      <c r="R14">
        <v>3</v>
      </c>
      <c r="S14">
        <v>1</v>
      </c>
      <c r="T14">
        <v>1</v>
      </c>
      <c r="U14">
        <v>1</v>
      </c>
      <c r="V14">
        <v>1</v>
      </c>
      <c r="W14">
        <v>1</v>
      </c>
      <c r="X14">
        <v>3</v>
      </c>
      <c r="Y14">
        <v>2</v>
      </c>
      <c r="Z14">
        <v>2</v>
      </c>
      <c r="AA14">
        <v>1</v>
      </c>
      <c r="AB14">
        <v>1</v>
      </c>
      <c r="AC14">
        <v>1</v>
      </c>
      <c r="AD14">
        <v>1</v>
      </c>
      <c r="AE14">
        <v>3</v>
      </c>
      <c r="AF14">
        <v>1</v>
      </c>
      <c r="AG14">
        <v>2</v>
      </c>
      <c r="AH14">
        <v>2</v>
      </c>
      <c r="AI14">
        <v>3</v>
      </c>
      <c r="AJ14">
        <v>2</v>
      </c>
      <c r="AK14">
        <v>2</v>
      </c>
      <c r="AL14">
        <v>2</v>
      </c>
      <c r="AM14">
        <v>1</v>
      </c>
      <c r="AN14">
        <v>1</v>
      </c>
    </row>
    <row r="15" spans="1:42" x14ac:dyDescent="0.25">
      <c r="A15" t="s">
        <v>125</v>
      </c>
      <c r="B15">
        <v>1</v>
      </c>
      <c r="C15">
        <v>2</v>
      </c>
      <c r="D15">
        <v>2</v>
      </c>
      <c r="E15">
        <v>3</v>
      </c>
      <c r="F15">
        <v>5</v>
      </c>
      <c r="G15">
        <v>3</v>
      </c>
      <c r="H15">
        <v>1</v>
      </c>
      <c r="I15">
        <v>3</v>
      </c>
      <c r="J15">
        <v>0</v>
      </c>
      <c r="K15">
        <v>5</v>
      </c>
      <c r="L15">
        <v>2</v>
      </c>
      <c r="M15">
        <v>1</v>
      </c>
      <c r="N15">
        <v>2</v>
      </c>
      <c r="O15">
        <v>2</v>
      </c>
      <c r="P15">
        <v>1</v>
      </c>
      <c r="Q15">
        <v>2</v>
      </c>
      <c r="R15">
        <v>4</v>
      </c>
      <c r="S15">
        <v>5</v>
      </c>
      <c r="T15">
        <v>1</v>
      </c>
      <c r="U15">
        <v>1</v>
      </c>
      <c r="V15">
        <v>1</v>
      </c>
      <c r="W15">
        <v>1</v>
      </c>
      <c r="X15">
        <v>3</v>
      </c>
      <c r="Y15">
        <v>4</v>
      </c>
      <c r="Z15">
        <v>2</v>
      </c>
      <c r="AA15">
        <v>1</v>
      </c>
      <c r="AB15">
        <v>1</v>
      </c>
      <c r="AC15">
        <v>1</v>
      </c>
      <c r="AD15">
        <v>1</v>
      </c>
      <c r="AE15">
        <v>4</v>
      </c>
      <c r="AF15">
        <v>1</v>
      </c>
      <c r="AG15">
        <v>2</v>
      </c>
      <c r="AH15">
        <v>2</v>
      </c>
      <c r="AI15">
        <v>2</v>
      </c>
      <c r="AJ15">
        <v>2</v>
      </c>
      <c r="AK15">
        <v>2</v>
      </c>
      <c r="AL15">
        <v>2</v>
      </c>
      <c r="AM15">
        <v>1</v>
      </c>
      <c r="AN15">
        <v>1</v>
      </c>
      <c r="AP15" t="s">
        <v>126</v>
      </c>
    </row>
    <row r="16" spans="1:42" x14ac:dyDescent="0.25">
      <c r="A16" t="s">
        <v>130</v>
      </c>
      <c r="B16">
        <v>1</v>
      </c>
      <c r="C16">
        <v>2</v>
      </c>
      <c r="D16">
        <v>4</v>
      </c>
      <c r="E16">
        <v>2</v>
      </c>
      <c r="F16">
        <v>2</v>
      </c>
      <c r="G16">
        <v>2</v>
      </c>
      <c r="H16">
        <v>1</v>
      </c>
      <c r="I16">
        <v>2</v>
      </c>
      <c r="J16">
        <v>1</v>
      </c>
      <c r="K16">
        <v>2</v>
      </c>
      <c r="L16">
        <v>2</v>
      </c>
      <c r="M16">
        <v>1</v>
      </c>
      <c r="N16">
        <v>2</v>
      </c>
      <c r="O16">
        <v>1</v>
      </c>
      <c r="P16">
        <v>1</v>
      </c>
      <c r="Q16">
        <v>2</v>
      </c>
      <c r="R16">
        <v>2</v>
      </c>
      <c r="S16">
        <v>5</v>
      </c>
      <c r="T16">
        <v>1</v>
      </c>
      <c r="U16">
        <v>1</v>
      </c>
      <c r="V16">
        <v>1</v>
      </c>
      <c r="W16">
        <v>1</v>
      </c>
      <c r="X16">
        <v>2</v>
      </c>
      <c r="Y16">
        <v>4</v>
      </c>
      <c r="Z16">
        <v>2</v>
      </c>
      <c r="AA16">
        <v>2</v>
      </c>
      <c r="AB16">
        <v>1</v>
      </c>
      <c r="AC16">
        <v>1</v>
      </c>
      <c r="AD16">
        <v>1</v>
      </c>
      <c r="AE16">
        <v>2</v>
      </c>
      <c r="AF16">
        <v>2</v>
      </c>
      <c r="AG16">
        <v>2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1</v>
      </c>
      <c r="AN16">
        <v>1</v>
      </c>
    </row>
    <row r="17" spans="1:42" x14ac:dyDescent="0.25">
      <c r="A17" t="s">
        <v>145</v>
      </c>
      <c r="B17">
        <v>1</v>
      </c>
      <c r="C17">
        <v>2</v>
      </c>
      <c r="D17">
        <v>4</v>
      </c>
      <c r="E17">
        <v>2</v>
      </c>
      <c r="F17">
        <v>2</v>
      </c>
      <c r="G17">
        <v>2</v>
      </c>
      <c r="H17">
        <v>1</v>
      </c>
      <c r="I17">
        <v>1</v>
      </c>
      <c r="J17">
        <v>2</v>
      </c>
      <c r="K17">
        <v>1</v>
      </c>
      <c r="L17">
        <v>3</v>
      </c>
      <c r="M17">
        <v>4</v>
      </c>
      <c r="N17">
        <v>2</v>
      </c>
      <c r="O17">
        <v>1</v>
      </c>
      <c r="P17">
        <v>4</v>
      </c>
      <c r="Q17">
        <v>2</v>
      </c>
      <c r="R17">
        <v>2</v>
      </c>
      <c r="S17">
        <v>4</v>
      </c>
      <c r="T17">
        <v>1</v>
      </c>
      <c r="U17">
        <v>1</v>
      </c>
      <c r="V17">
        <v>1</v>
      </c>
      <c r="W17">
        <v>1</v>
      </c>
      <c r="X17">
        <v>3</v>
      </c>
      <c r="Y17">
        <v>4</v>
      </c>
      <c r="Z17">
        <v>2</v>
      </c>
      <c r="AA17">
        <v>1</v>
      </c>
      <c r="AB17">
        <v>4</v>
      </c>
      <c r="AC17">
        <v>1</v>
      </c>
      <c r="AD17">
        <v>1</v>
      </c>
      <c r="AE17">
        <v>3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1</v>
      </c>
      <c r="AN17">
        <v>1</v>
      </c>
    </row>
    <row r="18" spans="1:42" x14ac:dyDescent="0.25">
      <c r="A18" t="s">
        <v>144</v>
      </c>
      <c r="B18">
        <v>14</v>
      </c>
      <c r="C18">
        <v>4</v>
      </c>
      <c r="D18">
        <v>24</v>
      </c>
      <c r="E18">
        <v>2</v>
      </c>
      <c r="F18">
        <v>2</v>
      </c>
      <c r="G18">
        <v>4</v>
      </c>
      <c r="H18">
        <v>1</v>
      </c>
      <c r="I18">
        <v>23</v>
      </c>
      <c r="J18">
        <v>1</v>
      </c>
      <c r="K18">
        <v>2</v>
      </c>
      <c r="L18">
        <v>4</v>
      </c>
      <c r="M18">
        <v>34</v>
      </c>
      <c r="N18">
        <v>4</v>
      </c>
      <c r="O18">
        <v>14</v>
      </c>
      <c r="P18">
        <v>1</v>
      </c>
      <c r="Q18">
        <v>2</v>
      </c>
      <c r="R18">
        <v>34</v>
      </c>
      <c r="S18">
        <v>4</v>
      </c>
      <c r="T18">
        <v>1</v>
      </c>
      <c r="U18">
        <v>1</v>
      </c>
      <c r="V18">
        <v>1</v>
      </c>
      <c r="W18">
        <v>1</v>
      </c>
      <c r="X18">
        <v>3</v>
      </c>
      <c r="Y18">
        <v>4</v>
      </c>
      <c r="Z18">
        <v>1</v>
      </c>
      <c r="AA18">
        <v>5</v>
      </c>
      <c r="AB18">
        <v>14</v>
      </c>
      <c r="AC18">
        <v>1</v>
      </c>
      <c r="AD18">
        <v>14</v>
      </c>
      <c r="AE18">
        <v>3</v>
      </c>
      <c r="AF18">
        <v>14</v>
      </c>
      <c r="AG18">
        <v>5</v>
      </c>
      <c r="AH18">
        <v>2</v>
      </c>
      <c r="AI18">
        <v>5</v>
      </c>
      <c r="AJ18">
        <v>4</v>
      </c>
      <c r="AK18">
        <v>5</v>
      </c>
      <c r="AL18">
        <v>2</v>
      </c>
      <c r="AM18">
        <v>1</v>
      </c>
      <c r="AN18">
        <v>1</v>
      </c>
    </row>
    <row r="19" spans="1:42" x14ac:dyDescent="0.25">
      <c r="A19" t="s">
        <v>132</v>
      </c>
      <c r="B19">
        <v>1</v>
      </c>
      <c r="C19">
        <v>2</v>
      </c>
      <c r="D19">
        <v>34</v>
      </c>
      <c r="E19">
        <v>3</v>
      </c>
      <c r="F19">
        <v>5</v>
      </c>
      <c r="G19">
        <v>34</v>
      </c>
      <c r="H19">
        <v>1</v>
      </c>
      <c r="I19">
        <v>34</v>
      </c>
      <c r="J19">
        <v>1</v>
      </c>
      <c r="K19">
        <v>2</v>
      </c>
      <c r="L19">
        <v>34</v>
      </c>
      <c r="M19">
        <v>3</v>
      </c>
      <c r="N19">
        <v>4</v>
      </c>
      <c r="O19">
        <v>1</v>
      </c>
      <c r="P19">
        <v>1</v>
      </c>
      <c r="Q19">
        <v>2</v>
      </c>
      <c r="R19">
        <v>34</v>
      </c>
      <c r="S19">
        <v>4</v>
      </c>
      <c r="T19">
        <v>1</v>
      </c>
      <c r="U19">
        <v>1</v>
      </c>
      <c r="V19">
        <v>1</v>
      </c>
      <c r="W19">
        <v>1</v>
      </c>
      <c r="X19">
        <v>3</v>
      </c>
      <c r="Y19">
        <v>34</v>
      </c>
      <c r="Z19">
        <v>2</v>
      </c>
      <c r="AA19">
        <v>15</v>
      </c>
      <c r="AB19">
        <v>14</v>
      </c>
      <c r="AC19">
        <v>1</v>
      </c>
      <c r="AD19">
        <v>1</v>
      </c>
      <c r="AE19">
        <v>1</v>
      </c>
      <c r="AF19">
        <v>1</v>
      </c>
      <c r="AG19">
        <v>23</v>
      </c>
      <c r="AH19">
        <v>23</v>
      </c>
      <c r="AI19">
        <v>2</v>
      </c>
      <c r="AJ19">
        <v>24</v>
      </c>
      <c r="AK19">
        <v>2</v>
      </c>
      <c r="AL19">
        <v>2</v>
      </c>
      <c r="AM19">
        <v>1</v>
      </c>
      <c r="AN19">
        <v>1</v>
      </c>
      <c r="AP19" t="s">
        <v>134</v>
      </c>
    </row>
    <row r="20" spans="1:42" x14ac:dyDescent="0.25">
      <c r="A20" t="s">
        <v>146</v>
      </c>
      <c r="B20">
        <v>1</v>
      </c>
      <c r="C20">
        <v>2</v>
      </c>
      <c r="D20">
        <v>4</v>
      </c>
      <c r="E20">
        <v>3</v>
      </c>
      <c r="F20">
        <v>2</v>
      </c>
      <c r="G20">
        <v>25</v>
      </c>
      <c r="H20">
        <v>1</v>
      </c>
      <c r="I20">
        <v>3</v>
      </c>
      <c r="J20">
        <v>1</v>
      </c>
      <c r="K20">
        <v>2</v>
      </c>
      <c r="L20">
        <v>3</v>
      </c>
      <c r="M20">
        <v>2</v>
      </c>
      <c r="N20">
        <v>4</v>
      </c>
      <c r="O20">
        <v>1</v>
      </c>
      <c r="P20">
        <v>15</v>
      </c>
      <c r="Q20">
        <v>2</v>
      </c>
      <c r="R20">
        <v>4</v>
      </c>
      <c r="S20">
        <v>4</v>
      </c>
      <c r="T20">
        <v>1</v>
      </c>
      <c r="U20">
        <v>1</v>
      </c>
      <c r="V20">
        <v>1</v>
      </c>
      <c r="W20">
        <v>1</v>
      </c>
      <c r="X20">
        <v>4</v>
      </c>
      <c r="Y20">
        <v>4</v>
      </c>
      <c r="Z20">
        <v>2</v>
      </c>
      <c r="AA20">
        <v>1</v>
      </c>
      <c r="AB20">
        <v>1</v>
      </c>
      <c r="AC20">
        <v>1</v>
      </c>
      <c r="AD20">
        <v>1</v>
      </c>
      <c r="AE20">
        <v>4</v>
      </c>
      <c r="AF20">
        <v>1</v>
      </c>
      <c r="AG20">
        <v>25</v>
      </c>
      <c r="AH20">
        <v>2</v>
      </c>
      <c r="AI20">
        <v>2</v>
      </c>
      <c r="AJ20">
        <v>12</v>
      </c>
      <c r="AK20">
        <v>2</v>
      </c>
      <c r="AL20">
        <v>12</v>
      </c>
      <c r="AM20">
        <v>1</v>
      </c>
      <c r="AN20">
        <v>5</v>
      </c>
      <c r="AP20" t="s">
        <v>148</v>
      </c>
    </row>
    <row r="21" spans="1:42" x14ac:dyDescent="0.25">
      <c r="A21" t="s">
        <v>147</v>
      </c>
      <c r="B21">
        <v>1</v>
      </c>
      <c r="C21">
        <v>23</v>
      </c>
      <c r="D21">
        <v>4</v>
      </c>
      <c r="E21">
        <v>2</v>
      </c>
      <c r="F21">
        <v>1</v>
      </c>
      <c r="G21">
        <v>4</v>
      </c>
      <c r="H21">
        <v>14</v>
      </c>
      <c r="I21">
        <v>4</v>
      </c>
      <c r="J21">
        <v>1</v>
      </c>
      <c r="K21">
        <v>2</v>
      </c>
      <c r="L21">
        <v>4</v>
      </c>
      <c r="M21">
        <v>2</v>
      </c>
      <c r="N21">
        <v>4</v>
      </c>
      <c r="O21">
        <v>1</v>
      </c>
      <c r="P21">
        <v>1</v>
      </c>
      <c r="Q21">
        <v>2</v>
      </c>
      <c r="R21">
        <v>2</v>
      </c>
      <c r="S21">
        <v>2</v>
      </c>
      <c r="T21">
        <v>1</v>
      </c>
      <c r="U21">
        <v>1</v>
      </c>
      <c r="V21">
        <v>14</v>
      </c>
      <c r="W21">
        <v>1</v>
      </c>
      <c r="X21">
        <v>3</v>
      </c>
      <c r="Y21">
        <v>4</v>
      </c>
      <c r="Z21">
        <v>12</v>
      </c>
      <c r="AA21">
        <v>1</v>
      </c>
      <c r="AB21">
        <v>14</v>
      </c>
      <c r="AC21">
        <v>1</v>
      </c>
      <c r="AD21">
        <v>1</v>
      </c>
      <c r="AE21">
        <v>34</v>
      </c>
      <c r="AF21">
        <v>4</v>
      </c>
      <c r="AG21">
        <v>2</v>
      </c>
      <c r="AH21">
        <v>2</v>
      </c>
      <c r="AI21">
        <v>2</v>
      </c>
      <c r="AJ21">
        <v>34</v>
      </c>
      <c r="AK21">
        <v>2</v>
      </c>
      <c r="AL21">
        <v>2</v>
      </c>
      <c r="AM21">
        <v>1</v>
      </c>
      <c r="AN21">
        <v>1</v>
      </c>
    </row>
    <row r="22" spans="1:42" x14ac:dyDescent="0.25">
      <c r="A22" t="s">
        <v>155</v>
      </c>
      <c r="B22">
        <v>1</v>
      </c>
      <c r="C22">
        <v>4</v>
      </c>
      <c r="D22">
        <v>4</v>
      </c>
      <c r="E22">
        <v>4</v>
      </c>
      <c r="F22">
        <v>2</v>
      </c>
      <c r="G22">
        <v>4</v>
      </c>
      <c r="H22">
        <v>1</v>
      </c>
      <c r="I22">
        <v>3</v>
      </c>
      <c r="J22">
        <v>1</v>
      </c>
      <c r="K22">
        <v>2</v>
      </c>
      <c r="L22">
        <v>4</v>
      </c>
      <c r="M22">
        <v>13</v>
      </c>
      <c r="N22">
        <v>4</v>
      </c>
      <c r="O22">
        <v>4</v>
      </c>
      <c r="P22">
        <v>4</v>
      </c>
      <c r="Q22">
        <v>2</v>
      </c>
      <c r="R22">
        <v>4</v>
      </c>
      <c r="S22">
        <v>5</v>
      </c>
      <c r="T22">
        <v>4</v>
      </c>
      <c r="U22">
        <v>4</v>
      </c>
      <c r="V22">
        <v>1</v>
      </c>
      <c r="W22">
        <v>1</v>
      </c>
      <c r="X22">
        <v>4</v>
      </c>
      <c r="Y22">
        <v>4</v>
      </c>
      <c r="Z22">
        <v>1</v>
      </c>
      <c r="AA22">
        <v>2</v>
      </c>
      <c r="AB22">
        <v>1</v>
      </c>
      <c r="AC22">
        <v>1</v>
      </c>
      <c r="AD22">
        <v>1</v>
      </c>
      <c r="AE22">
        <v>4</v>
      </c>
      <c r="AF22">
        <v>2</v>
      </c>
      <c r="AG22">
        <v>4</v>
      </c>
      <c r="AH22">
        <v>2</v>
      </c>
      <c r="AI22">
        <v>2</v>
      </c>
      <c r="AJ22">
        <v>4</v>
      </c>
      <c r="AK22">
        <v>2</v>
      </c>
      <c r="AL22">
        <v>2</v>
      </c>
      <c r="AM22">
        <v>1</v>
      </c>
      <c r="AN22">
        <v>1</v>
      </c>
    </row>
    <row r="23" spans="1:42" x14ac:dyDescent="0.25">
      <c r="A23" t="s">
        <v>158</v>
      </c>
      <c r="B23">
        <v>1</v>
      </c>
      <c r="C23">
        <v>2</v>
      </c>
      <c r="D23">
        <v>34</v>
      </c>
      <c r="E23">
        <v>2</v>
      </c>
      <c r="F23">
        <v>3</v>
      </c>
      <c r="G23">
        <v>2</v>
      </c>
      <c r="H23">
        <v>1</v>
      </c>
      <c r="I23">
        <v>4</v>
      </c>
      <c r="J23">
        <v>4</v>
      </c>
      <c r="K23">
        <v>3</v>
      </c>
      <c r="M23">
        <v>3</v>
      </c>
      <c r="N23">
        <v>2</v>
      </c>
      <c r="O23">
        <v>1</v>
      </c>
      <c r="P23">
        <v>14</v>
      </c>
      <c r="Q23">
        <v>5</v>
      </c>
      <c r="R23">
        <v>4</v>
      </c>
      <c r="S23">
        <v>4</v>
      </c>
      <c r="T23">
        <v>1</v>
      </c>
      <c r="U23">
        <v>1</v>
      </c>
      <c r="V23">
        <v>1</v>
      </c>
      <c r="W23">
        <v>1</v>
      </c>
      <c r="X23">
        <v>3</v>
      </c>
      <c r="Y23">
        <v>5</v>
      </c>
      <c r="Z23">
        <v>3</v>
      </c>
      <c r="AA23">
        <v>13</v>
      </c>
      <c r="AB23">
        <v>1</v>
      </c>
      <c r="AC23">
        <v>1</v>
      </c>
      <c r="AD23">
        <v>13</v>
      </c>
      <c r="AE23">
        <v>34</v>
      </c>
      <c r="AF23">
        <v>35</v>
      </c>
      <c r="AG23">
        <v>2</v>
      </c>
      <c r="AH23">
        <v>2</v>
      </c>
      <c r="AI23">
        <v>5</v>
      </c>
      <c r="AJ23">
        <v>1</v>
      </c>
      <c r="AK23">
        <v>3</v>
      </c>
      <c r="AL23">
        <v>13</v>
      </c>
      <c r="AM23">
        <v>1</v>
      </c>
      <c r="AN23">
        <v>1</v>
      </c>
      <c r="AP23" t="s">
        <v>159</v>
      </c>
    </row>
    <row r="24" spans="1:42" x14ac:dyDescent="0.25">
      <c r="A24" t="s">
        <v>162</v>
      </c>
      <c r="B24">
        <v>1</v>
      </c>
      <c r="C24">
        <v>4</v>
      </c>
      <c r="D24">
        <v>2</v>
      </c>
      <c r="E24">
        <v>2</v>
      </c>
      <c r="F24">
        <v>2</v>
      </c>
      <c r="G24">
        <v>2</v>
      </c>
      <c r="H24">
        <v>1</v>
      </c>
      <c r="I24">
        <v>3</v>
      </c>
      <c r="J24">
        <v>1</v>
      </c>
      <c r="K24">
        <v>2</v>
      </c>
      <c r="L24">
        <v>4</v>
      </c>
      <c r="M24">
        <v>5</v>
      </c>
      <c r="N24">
        <v>4</v>
      </c>
      <c r="O24">
        <v>1</v>
      </c>
      <c r="P24">
        <v>1</v>
      </c>
      <c r="Q24">
        <v>2</v>
      </c>
      <c r="R24">
        <v>2</v>
      </c>
      <c r="S24">
        <v>4</v>
      </c>
      <c r="T24">
        <v>1</v>
      </c>
      <c r="U24">
        <v>15</v>
      </c>
      <c r="V24">
        <v>1</v>
      </c>
      <c r="W24">
        <v>1</v>
      </c>
      <c r="X24">
        <v>3</v>
      </c>
      <c r="Y24">
        <v>4</v>
      </c>
      <c r="Z24">
        <v>2</v>
      </c>
      <c r="AA24">
        <v>12</v>
      </c>
      <c r="AB24">
        <v>1</v>
      </c>
      <c r="AC24">
        <v>1</v>
      </c>
      <c r="AD24">
        <v>1</v>
      </c>
      <c r="AE24">
        <v>3</v>
      </c>
      <c r="AF24">
        <v>2</v>
      </c>
      <c r="AG24">
        <v>2</v>
      </c>
      <c r="AH24">
        <v>2</v>
      </c>
      <c r="AI24">
        <v>2</v>
      </c>
      <c r="AJ24">
        <v>2</v>
      </c>
      <c r="AK24">
        <v>2</v>
      </c>
      <c r="AL24">
        <v>2</v>
      </c>
      <c r="AM24">
        <v>1</v>
      </c>
      <c r="AN24">
        <v>1</v>
      </c>
      <c r="AP24" t="s">
        <v>163</v>
      </c>
    </row>
    <row r="25" spans="1:42" x14ac:dyDescent="0.25">
      <c r="A25" t="s">
        <v>160</v>
      </c>
      <c r="B25">
        <v>1</v>
      </c>
      <c r="C25">
        <v>2</v>
      </c>
      <c r="D25">
        <v>2</v>
      </c>
      <c r="E25">
        <v>4</v>
      </c>
      <c r="F25">
        <v>2</v>
      </c>
      <c r="G25">
        <v>4</v>
      </c>
      <c r="H25">
        <v>1</v>
      </c>
      <c r="I25">
        <v>34</v>
      </c>
      <c r="J25">
        <v>1</v>
      </c>
      <c r="K25">
        <v>5</v>
      </c>
      <c r="L25">
        <v>4</v>
      </c>
      <c r="M25">
        <v>34</v>
      </c>
      <c r="N25">
        <v>4</v>
      </c>
      <c r="O25">
        <v>1</v>
      </c>
      <c r="P25">
        <v>1</v>
      </c>
      <c r="Q25">
        <v>5</v>
      </c>
      <c r="R25">
        <v>34</v>
      </c>
      <c r="S25">
        <v>5</v>
      </c>
      <c r="T25">
        <v>1</v>
      </c>
      <c r="U25">
        <v>14</v>
      </c>
      <c r="V25">
        <v>14</v>
      </c>
      <c r="W25">
        <v>1</v>
      </c>
      <c r="X25">
        <v>34</v>
      </c>
      <c r="Y25">
        <v>34</v>
      </c>
      <c r="Z25">
        <v>3</v>
      </c>
      <c r="AA25">
        <v>1</v>
      </c>
      <c r="AB25">
        <v>14</v>
      </c>
      <c r="AC25">
        <v>1</v>
      </c>
      <c r="AD25">
        <v>14</v>
      </c>
      <c r="AE25">
        <v>34</v>
      </c>
      <c r="AF25">
        <v>14</v>
      </c>
      <c r="AG25">
        <v>24</v>
      </c>
      <c r="AH25">
        <v>2</v>
      </c>
      <c r="AI25">
        <v>2</v>
      </c>
      <c r="AJ25">
        <v>34</v>
      </c>
      <c r="AK25">
        <v>2</v>
      </c>
      <c r="AL25">
        <v>34</v>
      </c>
      <c r="AM25">
        <v>1</v>
      </c>
      <c r="AN25">
        <v>1</v>
      </c>
    </row>
    <row r="26" spans="1:42" x14ac:dyDescent="0.25">
      <c r="A26" t="s">
        <v>173</v>
      </c>
      <c r="B26">
        <v>14</v>
      </c>
      <c r="C26">
        <v>245</v>
      </c>
      <c r="D26">
        <v>3</v>
      </c>
      <c r="E26">
        <v>234</v>
      </c>
      <c r="F26">
        <v>5</v>
      </c>
      <c r="G26">
        <v>24</v>
      </c>
      <c r="H26">
        <v>15</v>
      </c>
      <c r="I26">
        <v>2345</v>
      </c>
      <c r="J26">
        <v>2345</v>
      </c>
      <c r="K26">
        <v>15</v>
      </c>
      <c r="L26" s="7"/>
      <c r="M26">
        <v>4</v>
      </c>
      <c r="N26">
        <v>245</v>
      </c>
      <c r="O26">
        <v>145</v>
      </c>
      <c r="P26">
        <v>14</v>
      </c>
      <c r="Q26">
        <v>25</v>
      </c>
      <c r="R26" s="7"/>
      <c r="S26">
        <v>14</v>
      </c>
      <c r="T26">
        <v>145</v>
      </c>
      <c r="U26">
        <v>145</v>
      </c>
      <c r="V26">
        <v>145</v>
      </c>
      <c r="W26">
        <v>145</v>
      </c>
      <c r="X26">
        <v>245</v>
      </c>
      <c r="Y26">
        <v>234</v>
      </c>
      <c r="Z26">
        <v>25</v>
      </c>
      <c r="AA26">
        <v>15</v>
      </c>
      <c r="AB26">
        <v>145</v>
      </c>
      <c r="AC26">
        <v>15</v>
      </c>
      <c r="AD26">
        <v>145</v>
      </c>
      <c r="AE26" s="7"/>
      <c r="AF26">
        <v>1245</v>
      </c>
      <c r="AG26" s="7"/>
      <c r="AH26">
        <v>235</v>
      </c>
      <c r="AI26" s="4">
        <v>235</v>
      </c>
      <c r="AJ26" s="7"/>
      <c r="AK26" s="4">
        <v>245</v>
      </c>
      <c r="AL26" s="4">
        <v>25</v>
      </c>
      <c r="AM26" s="4">
        <v>15</v>
      </c>
      <c r="AN26" s="4">
        <v>1</v>
      </c>
      <c r="AP26" t="s">
        <v>176</v>
      </c>
    </row>
    <row r="27" spans="1:42" x14ac:dyDescent="0.25">
      <c r="A27" t="s">
        <v>174</v>
      </c>
      <c r="B27">
        <v>1</v>
      </c>
      <c r="C27">
        <v>2</v>
      </c>
      <c r="D27">
        <v>3</v>
      </c>
      <c r="E27">
        <v>3</v>
      </c>
      <c r="F27">
        <v>2</v>
      </c>
      <c r="G27">
        <v>2</v>
      </c>
      <c r="H27">
        <v>1</v>
      </c>
      <c r="I27">
        <v>3</v>
      </c>
      <c r="J27">
        <v>1</v>
      </c>
      <c r="K27">
        <v>2</v>
      </c>
      <c r="L27">
        <v>2</v>
      </c>
      <c r="M27">
        <v>13</v>
      </c>
      <c r="N27">
        <v>2</v>
      </c>
      <c r="O27">
        <v>1</v>
      </c>
      <c r="P27">
        <v>5</v>
      </c>
      <c r="Q27">
        <v>25</v>
      </c>
      <c r="R27">
        <v>3</v>
      </c>
      <c r="S27">
        <v>45</v>
      </c>
      <c r="T27">
        <v>1</v>
      </c>
      <c r="U27">
        <v>1</v>
      </c>
      <c r="V27">
        <v>1</v>
      </c>
      <c r="W27">
        <v>1</v>
      </c>
      <c r="X27">
        <v>3</v>
      </c>
      <c r="Y27">
        <v>4</v>
      </c>
      <c r="Z27">
        <v>2</v>
      </c>
      <c r="AA27">
        <v>12</v>
      </c>
      <c r="AB27">
        <v>1</v>
      </c>
      <c r="AC27">
        <v>1</v>
      </c>
      <c r="AD27">
        <v>1</v>
      </c>
      <c r="AE27">
        <v>3</v>
      </c>
      <c r="AF27">
        <v>12</v>
      </c>
      <c r="AG27">
        <v>2</v>
      </c>
      <c r="AH27">
        <v>2</v>
      </c>
      <c r="AI27" s="4">
        <v>2</v>
      </c>
      <c r="AJ27" s="4">
        <v>2</v>
      </c>
      <c r="AK27" s="4">
        <v>2</v>
      </c>
      <c r="AL27" s="4">
        <v>2</v>
      </c>
      <c r="AM27" s="4">
        <v>1</v>
      </c>
      <c r="AN27" s="4">
        <v>1</v>
      </c>
      <c r="AP27" t="s">
        <v>181</v>
      </c>
    </row>
    <row r="28" spans="1:42" x14ac:dyDescent="0.25">
      <c r="A28" t="s">
        <v>175</v>
      </c>
      <c r="B28">
        <v>1</v>
      </c>
      <c r="C28">
        <v>2</v>
      </c>
      <c r="D28">
        <v>2</v>
      </c>
      <c r="E28">
        <v>2</v>
      </c>
      <c r="F28">
        <v>2</v>
      </c>
      <c r="G28">
        <v>4</v>
      </c>
      <c r="H28">
        <v>1</v>
      </c>
      <c r="I28">
        <v>3</v>
      </c>
      <c r="J28">
        <v>1</v>
      </c>
      <c r="K28">
        <v>2</v>
      </c>
      <c r="L28">
        <v>2</v>
      </c>
      <c r="M28">
        <v>4</v>
      </c>
      <c r="N28">
        <v>2</v>
      </c>
      <c r="O28">
        <v>1</v>
      </c>
      <c r="P28">
        <v>1</v>
      </c>
      <c r="Q28">
        <v>2</v>
      </c>
      <c r="R28">
        <v>4</v>
      </c>
      <c r="S28">
        <v>4</v>
      </c>
      <c r="T28">
        <v>1</v>
      </c>
      <c r="U28">
        <v>1</v>
      </c>
      <c r="V28">
        <v>1</v>
      </c>
      <c r="W28">
        <v>1</v>
      </c>
      <c r="X28">
        <v>3</v>
      </c>
      <c r="Y28">
        <v>4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4</v>
      </c>
      <c r="AF28">
        <v>4</v>
      </c>
      <c r="AG28">
        <v>2</v>
      </c>
      <c r="AH28">
        <v>2</v>
      </c>
      <c r="AI28" s="4">
        <v>2</v>
      </c>
      <c r="AJ28" s="4">
        <v>2</v>
      </c>
      <c r="AK28" s="4">
        <v>2</v>
      </c>
      <c r="AL28" s="4">
        <v>2</v>
      </c>
      <c r="AM28" s="4">
        <v>1</v>
      </c>
      <c r="AN28" s="4">
        <v>1</v>
      </c>
    </row>
    <row r="29" spans="1:42" x14ac:dyDescent="0.25">
      <c r="A29" t="s">
        <v>187</v>
      </c>
      <c r="B29">
        <v>1</v>
      </c>
      <c r="C29">
        <v>4</v>
      </c>
      <c r="D29">
        <v>4</v>
      </c>
      <c r="E29">
        <v>2</v>
      </c>
      <c r="F29">
        <v>5</v>
      </c>
      <c r="G29">
        <v>2</v>
      </c>
      <c r="H29">
        <v>1</v>
      </c>
      <c r="I29">
        <v>4</v>
      </c>
      <c r="J29">
        <v>1</v>
      </c>
      <c r="K29">
        <v>5</v>
      </c>
      <c r="L29">
        <v>2</v>
      </c>
      <c r="M29">
        <v>4</v>
      </c>
      <c r="N29">
        <v>4</v>
      </c>
      <c r="O29">
        <v>1</v>
      </c>
      <c r="P29">
        <v>1</v>
      </c>
      <c r="Q29">
        <v>5</v>
      </c>
      <c r="R29">
        <v>4</v>
      </c>
      <c r="S29">
        <v>4</v>
      </c>
      <c r="T29">
        <v>1</v>
      </c>
      <c r="U29">
        <v>14</v>
      </c>
      <c r="V29">
        <v>1</v>
      </c>
      <c r="W29">
        <v>1</v>
      </c>
      <c r="X29">
        <v>4</v>
      </c>
      <c r="Y29">
        <v>4</v>
      </c>
      <c r="Z29">
        <v>2</v>
      </c>
      <c r="AA29">
        <v>2</v>
      </c>
      <c r="AB29">
        <v>1</v>
      </c>
      <c r="AC29">
        <v>1</v>
      </c>
      <c r="AD29">
        <v>1</v>
      </c>
      <c r="AE29">
        <v>2</v>
      </c>
      <c r="AF29">
        <v>1</v>
      </c>
      <c r="AG29">
        <v>2</v>
      </c>
      <c r="AH29">
        <v>2</v>
      </c>
      <c r="AI29" s="4">
        <v>5</v>
      </c>
      <c r="AJ29" s="4">
        <v>2</v>
      </c>
      <c r="AK29" s="4">
        <v>5</v>
      </c>
      <c r="AL29" s="4">
        <v>5</v>
      </c>
      <c r="AM29" s="4">
        <v>1</v>
      </c>
      <c r="AN29" s="4">
        <v>1</v>
      </c>
      <c r="AP29" t="s">
        <v>189</v>
      </c>
    </row>
    <row r="30" spans="1:42" x14ac:dyDescent="0.25">
      <c r="A30" t="s">
        <v>186</v>
      </c>
      <c r="B30">
        <v>1</v>
      </c>
      <c r="C30">
        <v>2</v>
      </c>
      <c r="D30">
        <v>23</v>
      </c>
      <c r="E30">
        <v>2</v>
      </c>
      <c r="F30">
        <v>2</v>
      </c>
      <c r="G30">
        <v>4</v>
      </c>
      <c r="H30">
        <v>1</v>
      </c>
      <c r="I30">
        <v>34</v>
      </c>
      <c r="J30">
        <v>1</v>
      </c>
      <c r="K30">
        <v>2</v>
      </c>
      <c r="L30">
        <v>2</v>
      </c>
      <c r="M30">
        <v>24</v>
      </c>
      <c r="N30">
        <v>4</v>
      </c>
      <c r="O30">
        <v>1</v>
      </c>
      <c r="P30">
        <v>14</v>
      </c>
      <c r="Q30">
        <v>2</v>
      </c>
      <c r="R30">
        <v>2</v>
      </c>
      <c r="S30">
        <v>4</v>
      </c>
      <c r="T30">
        <v>14</v>
      </c>
      <c r="U30">
        <v>1</v>
      </c>
      <c r="V30">
        <v>1</v>
      </c>
      <c r="W30">
        <v>1</v>
      </c>
      <c r="X30">
        <v>3</v>
      </c>
      <c r="Y30">
        <v>34</v>
      </c>
      <c r="Z30">
        <v>2</v>
      </c>
      <c r="AA30">
        <v>1</v>
      </c>
      <c r="AB30">
        <v>14</v>
      </c>
      <c r="AC30">
        <v>14</v>
      </c>
      <c r="AD30">
        <v>14</v>
      </c>
      <c r="AE30">
        <v>23</v>
      </c>
      <c r="AF30">
        <v>1</v>
      </c>
      <c r="AG30">
        <v>2</v>
      </c>
      <c r="AH30">
        <v>2</v>
      </c>
      <c r="AI30">
        <v>2</v>
      </c>
      <c r="AJ30">
        <v>24</v>
      </c>
      <c r="AK30">
        <v>2</v>
      </c>
      <c r="AL30">
        <v>2</v>
      </c>
      <c r="AM30">
        <v>1</v>
      </c>
      <c r="AN30">
        <v>1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86"/>
  <sheetViews>
    <sheetView zoomScale="55" zoomScaleNormal="55" workbookViewId="0">
      <selection activeCell="N51" sqref="N51"/>
    </sheetView>
  </sheetViews>
  <sheetFormatPr defaultRowHeight="15" x14ac:dyDescent="0.25"/>
  <sheetData>
    <row r="1" spans="1:4" s="25" customFormat="1" x14ac:dyDescent="0.25">
      <c r="B1" s="25" t="s">
        <v>57</v>
      </c>
      <c r="C1" s="25" t="s">
        <v>58</v>
      </c>
      <c r="D1" s="25" t="s">
        <v>102</v>
      </c>
    </row>
    <row r="2" spans="1:4" x14ac:dyDescent="0.25">
      <c r="A2" t="s">
        <v>3</v>
      </c>
    </row>
    <row r="3" spans="1:4" x14ac:dyDescent="0.25">
      <c r="A3" t="s">
        <v>13</v>
      </c>
      <c r="B3" t="s">
        <v>61</v>
      </c>
      <c r="C3" t="s">
        <v>14</v>
      </c>
    </row>
    <row r="4" spans="1:4" x14ac:dyDescent="0.25">
      <c r="B4" t="s">
        <v>62</v>
      </c>
      <c r="C4" t="s">
        <v>14</v>
      </c>
    </row>
    <row r="5" spans="1:4" x14ac:dyDescent="0.25">
      <c r="B5" t="s">
        <v>63</v>
      </c>
      <c r="C5" t="s">
        <v>14</v>
      </c>
    </row>
    <row r="6" spans="1:4" x14ac:dyDescent="0.25">
      <c r="A6" t="s">
        <v>68</v>
      </c>
      <c r="B6" t="s">
        <v>72</v>
      </c>
      <c r="C6" t="s">
        <v>14</v>
      </c>
    </row>
    <row r="7" spans="1:4" x14ac:dyDescent="0.25">
      <c r="B7" t="s">
        <v>73</v>
      </c>
      <c r="C7" t="s">
        <v>16</v>
      </c>
    </row>
    <row r="8" spans="1:4" x14ac:dyDescent="0.25">
      <c r="A8" t="s">
        <v>69</v>
      </c>
      <c r="B8" t="s">
        <v>82</v>
      </c>
      <c r="C8" t="s">
        <v>83</v>
      </c>
    </row>
    <row r="9" spans="1:4" x14ac:dyDescent="0.25">
      <c r="B9" t="s">
        <v>84</v>
      </c>
      <c r="C9" t="s">
        <v>16</v>
      </c>
    </row>
    <row r="10" spans="1:4" x14ac:dyDescent="0.25">
      <c r="A10" t="s">
        <v>70</v>
      </c>
      <c r="B10" t="s">
        <v>104</v>
      </c>
      <c r="C10" t="s">
        <v>14</v>
      </c>
    </row>
    <row r="11" spans="1:4" x14ac:dyDescent="0.25">
      <c r="B11" t="s">
        <v>105</v>
      </c>
      <c r="C11" t="s">
        <v>17</v>
      </c>
    </row>
    <row r="12" spans="1:4" x14ac:dyDescent="0.25">
      <c r="B12" t="s">
        <v>106</v>
      </c>
      <c r="C12" t="s">
        <v>14</v>
      </c>
    </row>
    <row r="13" spans="1:4" x14ac:dyDescent="0.25">
      <c r="B13" t="s">
        <v>107</v>
      </c>
      <c r="C13" t="s">
        <v>16</v>
      </c>
    </row>
    <row r="14" spans="1:4" x14ac:dyDescent="0.25">
      <c r="B14" t="s">
        <v>108</v>
      </c>
      <c r="C14" t="s">
        <v>17</v>
      </c>
    </row>
    <row r="15" spans="1:4" x14ac:dyDescent="0.25">
      <c r="A15" t="s">
        <v>74</v>
      </c>
      <c r="B15" t="s">
        <v>76</v>
      </c>
      <c r="C15" t="s">
        <v>16</v>
      </c>
    </row>
    <row r="16" spans="1:4" x14ac:dyDescent="0.25">
      <c r="B16" t="s">
        <v>77</v>
      </c>
      <c r="C16" t="s">
        <v>16</v>
      </c>
    </row>
    <row r="17" spans="1:4" x14ac:dyDescent="0.25">
      <c r="B17" t="s">
        <v>78</v>
      </c>
      <c r="C17" t="s">
        <v>16</v>
      </c>
    </row>
    <row r="18" spans="1:4" x14ac:dyDescent="0.25">
      <c r="A18" t="s">
        <v>79</v>
      </c>
    </row>
    <row r="19" spans="1:4" x14ac:dyDescent="0.25">
      <c r="A19" t="s">
        <v>80</v>
      </c>
      <c r="B19" t="s">
        <v>90</v>
      </c>
      <c r="C19" t="s">
        <v>14</v>
      </c>
    </row>
    <row r="20" spans="1:4" x14ac:dyDescent="0.25">
      <c r="B20" t="s">
        <v>91</v>
      </c>
      <c r="C20" t="s">
        <v>16</v>
      </c>
    </row>
    <row r="21" spans="1:4" x14ac:dyDescent="0.25">
      <c r="A21" t="s">
        <v>86</v>
      </c>
      <c r="B21" t="s">
        <v>88</v>
      </c>
      <c r="C21" t="s">
        <v>16</v>
      </c>
    </row>
    <row r="22" spans="1:4" x14ac:dyDescent="0.25">
      <c r="B22" t="s">
        <v>89</v>
      </c>
      <c r="C22" t="s">
        <v>14</v>
      </c>
    </row>
    <row r="25" spans="1:4" x14ac:dyDescent="0.25">
      <c r="A25" t="s">
        <v>92</v>
      </c>
      <c r="B25" t="s">
        <v>95</v>
      </c>
      <c r="C25" t="s">
        <v>96</v>
      </c>
    </row>
    <row r="26" spans="1:4" x14ac:dyDescent="0.25">
      <c r="B26" t="s">
        <v>97</v>
      </c>
      <c r="C26" t="s">
        <v>98</v>
      </c>
      <c r="D26" t="s">
        <v>103</v>
      </c>
    </row>
    <row r="27" spans="1:4" x14ac:dyDescent="0.25">
      <c r="B27" t="s">
        <v>99</v>
      </c>
      <c r="C27" t="s">
        <v>100</v>
      </c>
    </row>
    <row r="28" spans="1:4" x14ac:dyDescent="0.25">
      <c r="B28" t="s">
        <v>101</v>
      </c>
      <c r="C28" t="s">
        <v>14</v>
      </c>
    </row>
    <row r="29" spans="1:4" x14ac:dyDescent="0.25">
      <c r="A29" t="s">
        <v>93</v>
      </c>
    </row>
    <row r="30" spans="1:4" x14ac:dyDescent="0.25">
      <c r="A30" t="s">
        <v>110</v>
      </c>
      <c r="B30" t="s">
        <v>82</v>
      </c>
      <c r="C30" t="s">
        <v>15</v>
      </c>
    </row>
    <row r="31" spans="1:4" x14ac:dyDescent="0.25">
      <c r="B31" t="s">
        <v>111</v>
      </c>
      <c r="C31" t="s">
        <v>16</v>
      </c>
    </row>
    <row r="32" spans="1:4" x14ac:dyDescent="0.25">
      <c r="B32" t="s">
        <v>112</v>
      </c>
      <c r="C32" t="s">
        <v>16</v>
      </c>
    </row>
    <row r="33" spans="1:4" x14ac:dyDescent="0.25">
      <c r="B33" t="s">
        <v>113</v>
      </c>
      <c r="C33" t="s">
        <v>16</v>
      </c>
    </row>
    <row r="34" spans="1:4" x14ac:dyDescent="0.25">
      <c r="B34" t="s">
        <v>114</v>
      </c>
      <c r="C34" t="s">
        <v>16</v>
      </c>
    </row>
    <row r="35" spans="1:4" x14ac:dyDescent="0.25">
      <c r="B35" t="s">
        <v>115</v>
      </c>
      <c r="C35" t="s">
        <v>16</v>
      </c>
    </row>
    <row r="36" spans="1:4" x14ac:dyDescent="0.25">
      <c r="B36" t="s">
        <v>116</v>
      </c>
      <c r="C36" t="s">
        <v>16</v>
      </c>
    </row>
    <row r="37" spans="1:4" x14ac:dyDescent="0.25">
      <c r="B37" t="s">
        <v>117</v>
      </c>
      <c r="C37" t="s">
        <v>16</v>
      </c>
    </row>
    <row r="38" spans="1:4" x14ac:dyDescent="0.25">
      <c r="B38" t="s">
        <v>118</v>
      </c>
      <c r="C38" t="s">
        <v>16</v>
      </c>
    </row>
    <row r="39" spans="1:4" x14ac:dyDescent="0.25">
      <c r="B39" t="s">
        <v>119</v>
      </c>
      <c r="C39" t="s">
        <v>16</v>
      </c>
    </row>
    <row r="40" spans="1:4" x14ac:dyDescent="0.25">
      <c r="A40" t="s">
        <v>120</v>
      </c>
      <c r="B40" t="s">
        <v>121</v>
      </c>
      <c r="C40" t="s">
        <v>16</v>
      </c>
    </row>
    <row r="41" spans="1:4" x14ac:dyDescent="0.25">
      <c r="B41" t="s">
        <v>122</v>
      </c>
      <c r="C41" t="s">
        <v>14</v>
      </c>
    </row>
    <row r="42" spans="1:4" x14ac:dyDescent="0.25">
      <c r="B42" t="s">
        <v>82</v>
      </c>
      <c r="C42" t="s">
        <v>16</v>
      </c>
    </row>
    <row r="43" spans="1:4" x14ac:dyDescent="0.25">
      <c r="A43" t="s">
        <v>125</v>
      </c>
      <c r="B43" t="s">
        <v>127</v>
      </c>
      <c r="C43" t="s">
        <v>129</v>
      </c>
    </row>
    <row r="44" spans="1:4" x14ac:dyDescent="0.25">
      <c r="B44" t="s">
        <v>128</v>
      </c>
      <c r="C44" t="s">
        <v>129</v>
      </c>
      <c r="D44" t="s">
        <v>103</v>
      </c>
    </row>
    <row r="45" spans="1:4" x14ac:dyDescent="0.25">
      <c r="A45" t="s">
        <v>130</v>
      </c>
      <c r="B45" t="s">
        <v>131</v>
      </c>
      <c r="C45" t="s">
        <v>100</v>
      </c>
    </row>
    <row r="46" spans="1:4" x14ac:dyDescent="0.25">
      <c r="A46" t="s">
        <v>145</v>
      </c>
    </row>
    <row r="47" spans="1:4" x14ac:dyDescent="0.25">
      <c r="A47" t="s">
        <v>144</v>
      </c>
    </row>
    <row r="48" spans="1:4" x14ac:dyDescent="0.25">
      <c r="A48" t="s">
        <v>132</v>
      </c>
      <c r="B48" t="s">
        <v>135</v>
      </c>
      <c r="C48" t="s">
        <v>136</v>
      </c>
    </row>
    <row r="49" spans="1:4" x14ac:dyDescent="0.25">
      <c r="B49" t="s">
        <v>137</v>
      </c>
      <c r="C49" t="s">
        <v>138</v>
      </c>
    </row>
    <row r="50" spans="1:4" x14ac:dyDescent="0.25">
      <c r="B50" t="s">
        <v>108</v>
      </c>
      <c r="C50" t="s">
        <v>142</v>
      </c>
    </row>
    <row r="51" spans="1:4" x14ac:dyDescent="0.25">
      <c r="B51" t="s">
        <v>139</v>
      </c>
      <c r="C51" t="s">
        <v>142</v>
      </c>
    </row>
    <row r="52" spans="1:4" x14ac:dyDescent="0.25">
      <c r="B52" t="s">
        <v>140</v>
      </c>
      <c r="C52" t="s">
        <v>142</v>
      </c>
    </row>
    <row r="53" spans="1:4" x14ac:dyDescent="0.25">
      <c r="B53" t="s">
        <v>141</v>
      </c>
      <c r="C53" t="s">
        <v>143</v>
      </c>
    </row>
    <row r="54" spans="1:4" x14ac:dyDescent="0.25">
      <c r="A54" t="s">
        <v>146</v>
      </c>
      <c r="B54" t="s">
        <v>124</v>
      </c>
      <c r="C54" t="s">
        <v>149</v>
      </c>
    </row>
    <row r="55" spans="1:4" x14ac:dyDescent="0.25">
      <c r="B55" t="s">
        <v>108</v>
      </c>
      <c r="C55" t="s">
        <v>149</v>
      </c>
    </row>
    <row r="56" spans="1:4" x14ac:dyDescent="0.25">
      <c r="B56" t="s">
        <v>150</v>
      </c>
      <c r="C56" t="s">
        <v>149</v>
      </c>
    </row>
    <row r="57" spans="1:4" x14ac:dyDescent="0.25">
      <c r="A57" t="s">
        <v>147</v>
      </c>
      <c r="B57" t="s">
        <v>151</v>
      </c>
      <c r="C57" t="s">
        <v>138</v>
      </c>
    </row>
    <row r="58" spans="1:4" x14ac:dyDescent="0.25">
      <c r="B58" t="s">
        <v>108</v>
      </c>
      <c r="C58" t="s">
        <v>152</v>
      </c>
    </row>
    <row r="59" spans="1:4" x14ac:dyDescent="0.25">
      <c r="B59" t="s">
        <v>153</v>
      </c>
      <c r="C59" t="s">
        <v>154</v>
      </c>
    </row>
    <row r="60" spans="1:4" x14ac:dyDescent="0.25">
      <c r="A60" t="s">
        <v>155</v>
      </c>
      <c r="B60" t="s">
        <v>156</v>
      </c>
      <c r="C60" t="s">
        <v>143</v>
      </c>
      <c r="D60" t="s">
        <v>103</v>
      </c>
    </row>
    <row r="61" spans="1:4" x14ac:dyDescent="0.25">
      <c r="B61" t="s">
        <v>157</v>
      </c>
      <c r="C61" t="s">
        <v>136</v>
      </c>
    </row>
    <row r="62" spans="1:4" x14ac:dyDescent="0.25">
      <c r="A62" t="s">
        <v>158</v>
      </c>
      <c r="B62" t="s">
        <v>124</v>
      </c>
      <c r="C62" t="s">
        <v>149</v>
      </c>
    </row>
    <row r="63" spans="1:4" x14ac:dyDescent="0.25">
      <c r="B63" t="s">
        <v>108</v>
      </c>
      <c r="C63" t="s">
        <v>149</v>
      </c>
    </row>
    <row r="64" spans="1:4" x14ac:dyDescent="0.25">
      <c r="A64" t="s">
        <v>162</v>
      </c>
      <c r="B64" t="s">
        <v>164</v>
      </c>
      <c r="C64" t="s">
        <v>138</v>
      </c>
      <c r="D64" t="s">
        <v>103</v>
      </c>
    </row>
    <row r="65" spans="1:4" x14ac:dyDescent="0.25">
      <c r="B65" t="s">
        <v>165</v>
      </c>
      <c r="C65" t="s">
        <v>138</v>
      </c>
      <c r="D65" t="s">
        <v>103</v>
      </c>
    </row>
    <row r="66" spans="1:4" x14ac:dyDescent="0.25">
      <c r="B66" t="s">
        <v>166</v>
      </c>
      <c r="C66" t="s">
        <v>138</v>
      </c>
    </row>
    <row r="67" spans="1:4" x14ac:dyDescent="0.25">
      <c r="B67" t="s">
        <v>167</v>
      </c>
      <c r="C67" t="s">
        <v>138</v>
      </c>
    </row>
    <row r="68" spans="1:4" x14ac:dyDescent="0.25">
      <c r="B68" t="s">
        <v>168</v>
      </c>
      <c r="C68" t="s">
        <v>138</v>
      </c>
    </row>
    <row r="69" spans="1:4" x14ac:dyDescent="0.25">
      <c r="B69" t="s">
        <v>169</v>
      </c>
      <c r="C69" t="s">
        <v>143</v>
      </c>
    </row>
    <row r="70" spans="1:4" x14ac:dyDescent="0.25">
      <c r="B70" t="s">
        <v>170</v>
      </c>
      <c r="C70" t="s">
        <v>171</v>
      </c>
    </row>
    <row r="71" spans="1:4" x14ac:dyDescent="0.25">
      <c r="B71" t="s">
        <v>172</v>
      </c>
      <c r="C71" t="s">
        <v>171</v>
      </c>
    </row>
    <row r="72" spans="1:4" x14ac:dyDescent="0.25">
      <c r="A72" t="s">
        <v>160</v>
      </c>
      <c r="B72" t="s">
        <v>108</v>
      </c>
      <c r="C72" t="s">
        <v>161</v>
      </c>
    </row>
    <row r="73" spans="1:4" x14ac:dyDescent="0.25">
      <c r="A73" t="s">
        <v>173</v>
      </c>
      <c r="B73" t="s">
        <v>177</v>
      </c>
      <c r="C73" t="s">
        <v>136</v>
      </c>
    </row>
    <row r="74" spans="1:4" x14ac:dyDescent="0.25">
      <c r="B74" t="s">
        <v>178</v>
      </c>
      <c r="C74" t="s">
        <v>179</v>
      </c>
    </row>
    <row r="75" spans="1:4" x14ac:dyDescent="0.25">
      <c r="B75" t="s">
        <v>180</v>
      </c>
      <c r="C75" t="s">
        <v>161</v>
      </c>
    </row>
    <row r="76" spans="1:4" x14ac:dyDescent="0.25">
      <c r="A76" t="s">
        <v>174</v>
      </c>
      <c r="B76" t="s">
        <v>135</v>
      </c>
      <c r="C76" t="s">
        <v>136</v>
      </c>
    </row>
    <row r="77" spans="1:4" x14ac:dyDescent="0.25">
      <c r="B77" t="s">
        <v>108</v>
      </c>
      <c r="C77" t="s">
        <v>159</v>
      </c>
      <c r="D77" t="s">
        <v>103</v>
      </c>
    </row>
    <row r="78" spans="1:4" x14ac:dyDescent="0.25">
      <c r="B78" t="s">
        <v>105</v>
      </c>
      <c r="C78" t="s">
        <v>136</v>
      </c>
    </row>
    <row r="79" spans="1:4" x14ac:dyDescent="0.25">
      <c r="A79" t="s">
        <v>175</v>
      </c>
      <c r="B79" t="s">
        <v>40</v>
      </c>
      <c r="C79" t="s">
        <v>149</v>
      </c>
    </row>
    <row r="80" spans="1:4" x14ac:dyDescent="0.25">
      <c r="B80" t="s">
        <v>182</v>
      </c>
      <c r="C80" t="s">
        <v>136</v>
      </c>
      <c r="D80" t="s">
        <v>103</v>
      </c>
    </row>
    <row r="81" spans="1:3" x14ac:dyDescent="0.25">
      <c r="B81" t="s">
        <v>183</v>
      </c>
      <c r="C81" t="s">
        <v>185</v>
      </c>
    </row>
    <row r="82" spans="1:3" x14ac:dyDescent="0.25">
      <c r="B82" t="s">
        <v>19</v>
      </c>
      <c r="C82" t="s">
        <v>138</v>
      </c>
    </row>
    <row r="83" spans="1:3" x14ac:dyDescent="0.25">
      <c r="B83" t="s">
        <v>184</v>
      </c>
      <c r="C83" t="s">
        <v>138</v>
      </c>
    </row>
    <row r="84" spans="1:3" x14ac:dyDescent="0.25">
      <c r="A84" t="s">
        <v>187</v>
      </c>
    </row>
    <row r="85" spans="1:3" x14ac:dyDescent="0.25">
      <c r="A85" t="s">
        <v>186</v>
      </c>
      <c r="B85" t="s">
        <v>108</v>
      </c>
      <c r="C85" t="s">
        <v>143</v>
      </c>
    </row>
    <row r="86" spans="1:3" x14ac:dyDescent="0.25">
      <c r="B86" t="s">
        <v>188</v>
      </c>
      <c r="C86" t="s">
        <v>138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zoomScale="55" zoomScaleNormal="55" workbookViewId="0">
      <selection activeCell="I22" sqref="I22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54</v>
      </c>
      <c r="C2">
        <v>56</v>
      </c>
      <c r="E2">
        <f>C2-B2</f>
        <v>2</v>
      </c>
    </row>
    <row r="3" spans="1:5" x14ac:dyDescent="0.25">
      <c r="A3" t="s">
        <v>13</v>
      </c>
      <c r="B3">
        <v>53</v>
      </c>
      <c r="C3">
        <v>53</v>
      </c>
      <c r="E3">
        <f t="shared" ref="E3:E61" si="0">C3-B3</f>
        <v>0</v>
      </c>
    </row>
    <row r="4" spans="1:5" x14ac:dyDescent="0.25">
      <c r="A4" t="s">
        <v>68</v>
      </c>
      <c r="B4">
        <v>58</v>
      </c>
      <c r="C4">
        <v>60</v>
      </c>
      <c r="E4">
        <f t="shared" si="0"/>
        <v>2</v>
      </c>
    </row>
    <row r="5" spans="1:5" x14ac:dyDescent="0.25">
      <c r="A5" t="s">
        <v>69</v>
      </c>
      <c r="B5">
        <v>61</v>
      </c>
      <c r="C5">
        <v>57</v>
      </c>
      <c r="E5">
        <f t="shared" si="0"/>
        <v>-4</v>
      </c>
    </row>
    <row r="6" spans="1:5" x14ac:dyDescent="0.25">
      <c r="A6" t="s">
        <v>70</v>
      </c>
      <c r="B6">
        <v>49</v>
      </c>
      <c r="C6">
        <v>52</v>
      </c>
      <c r="E6">
        <f t="shared" si="0"/>
        <v>3</v>
      </c>
    </row>
    <row r="7" spans="1:5" x14ac:dyDescent="0.25">
      <c r="A7" t="s">
        <v>74</v>
      </c>
      <c r="B7">
        <v>57</v>
      </c>
      <c r="C7">
        <v>48</v>
      </c>
      <c r="E7">
        <f t="shared" si="0"/>
        <v>-9</v>
      </c>
    </row>
    <row r="8" spans="1:5" x14ac:dyDescent="0.25">
      <c r="A8" t="s">
        <v>79</v>
      </c>
      <c r="B8">
        <v>51</v>
      </c>
      <c r="C8">
        <v>44</v>
      </c>
      <c r="E8">
        <f t="shared" si="0"/>
        <v>-7</v>
      </c>
    </row>
    <row r="9" spans="1:5" x14ac:dyDescent="0.25">
      <c r="A9" t="s">
        <v>80</v>
      </c>
      <c r="B9">
        <v>59</v>
      </c>
      <c r="C9">
        <v>57</v>
      </c>
      <c r="E9">
        <f t="shared" si="0"/>
        <v>-2</v>
      </c>
    </row>
    <row r="10" spans="1:5" x14ac:dyDescent="0.25">
      <c r="A10" t="s">
        <v>86</v>
      </c>
      <c r="B10">
        <v>42</v>
      </c>
      <c r="C10">
        <v>38</v>
      </c>
      <c r="E10">
        <f t="shared" si="0"/>
        <v>-4</v>
      </c>
    </row>
    <row r="11" spans="1:5" x14ac:dyDescent="0.25">
      <c r="A11" t="s">
        <v>92</v>
      </c>
      <c r="B11">
        <v>40</v>
      </c>
      <c r="C11">
        <v>42</v>
      </c>
      <c r="E11">
        <f t="shared" si="0"/>
        <v>2</v>
      </c>
    </row>
    <row r="12" spans="1:5" x14ac:dyDescent="0.25">
      <c r="A12" t="s">
        <v>93</v>
      </c>
      <c r="B12">
        <v>48</v>
      </c>
      <c r="C12">
        <v>51</v>
      </c>
      <c r="E12">
        <f t="shared" si="0"/>
        <v>3</v>
      </c>
    </row>
    <row r="13" spans="1:5" x14ac:dyDescent="0.25">
      <c r="A13" t="s">
        <v>110</v>
      </c>
      <c r="B13">
        <v>61</v>
      </c>
      <c r="C13">
        <v>60</v>
      </c>
      <c r="E13">
        <f t="shared" si="0"/>
        <v>-1</v>
      </c>
    </row>
    <row r="14" spans="1:5" x14ac:dyDescent="0.25">
      <c r="A14" t="s">
        <v>120</v>
      </c>
      <c r="B14">
        <v>59</v>
      </c>
      <c r="C14">
        <v>55</v>
      </c>
      <c r="E14">
        <f t="shared" si="0"/>
        <v>-4</v>
      </c>
    </row>
    <row r="15" spans="1:5" x14ac:dyDescent="0.25">
      <c r="A15" t="s">
        <v>125</v>
      </c>
      <c r="B15">
        <v>48</v>
      </c>
      <c r="C15">
        <v>34</v>
      </c>
      <c r="E15">
        <f t="shared" si="0"/>
        <v>-14</v>
      </c>
    </row>
    <row r="16" spans="1:5" x14ac:dyDescent="0.25">
      <c r="A16" t="s">
        <v>130</v>
      </c>
      <c r="B16">
        <v>74</v>
      </c>
      <c r="C16">
        <v>70</v>
      </c>
      <c r="E16">
        <f t="shared" si="0"/>
        <v>-4</v>
      </c>
    </row>
    <row r="17" spans="1:5" x14ac:dyDescent="0.25">
      <c r="A17" t="s">
        <v>145</v>
      </c>
      <c r="B17">
        <v>60</v>
      </c>
      <c r="C17">
        <v>59</v>
      </c>
      <c r="E17">
        <f t="shared" si="0"/>
        <v>-1</v>
      </c>
    </row>
    <row r="18" spans="1:5" x14ac:dyDescent="0.25">
      <c r="A18" t="s">
        <v>144</v>
      </c>
      <c r="B18">
        <v>50</v>
      </c>
      <c r="C18">
        <v>49</v>
      </c>
      <c r="E18">
        <f t="shared" si="0"/>
        <v>-1</v>
      </c>
    </row>
    <row r="19" spans="1:5" x14ac:dyDescent="0.25">
      <c r="A19" t="s">
        <v>132</v>
      </c>
      <c r="B19">
        <v>61</v>
      </c>
      <c r="C19">
        <v>60</v>
      </c>
      <c r="E19">
        <f t="shared" si="0"/>
        <v>-1</v>
      </c>
    </row>
    <row r="20" spans="1:5" x14ac:dyDescent="0.25">
      <c r="A20" t="s">
        <v>146</v>
      </c>
      <c r="B20">
        <v>41</v>
      </c>
      <c r="C20">
        <v>41</v>
      </c>
      <c r="E20">
        <f t="shared" si="0"/>
        <v>0</v>
      </c>
    </row>
    <row r="21" spans="1:5" x14ac:dyDescent="0.25">
      <c r="A21" t="s">
        <v>147</v>
      </c>
      <c r="B21">
        <v>33</v>
      </c>
      <c r="C21">
        <v>33</v>
      </c>
      <c r="E21">
        <f t="shared" si="0"/>
        <v>0</v>
      </c>
    </row>
    <row r="22" spans="1:5" x14ac:dyDescent="0.25">
      <c r="A22" t="s">
        <v>155</v>
      </c>
      <c r="B22">
        <v>42</v>
      </c>
      <c r="C22">
        <v>37</v>
      </c>
      <c r="E22">
        <f t="shared" si="0"/>
        <v>-5</v>
      </c>
    </row>
    <row r="23" spans="1:5" x14ac:dyDescent="0.25">
      <c r="A23" t="s">
        <v>158</v>
      </c>
      <c r="B23">
        <v>50</v>
      </c>
      <c r="C23">
        <v>50</v>
      </c>
      <c r="E23">
        <f t="shared" si="0"/>
        <v>0</v>
      </c>
    </row>
    <row r="24" spans="1:5" x14ac:dyDescent="0.25">
      <c r="A24" t="s">
        <v>162</v>
      </c>
      <c r="B24">
        <v>61</v>
      </c>
      <c r="C24">
        <v>70</v>
      </c>
      <c r="E24">
        <f t="shared" si="0"/>
        <v>9</v>
      </c>
    </row>
    <row r="25" spans="1:5" x14ac:dyDescent="0.25">
      <c r="A25" t="s">
        <v>160</v>
      </c>
      <c r="B25">
        <v>54</v>
      </c>
      <c r="C25">
        <v>59</v>
      </c>
      <c r="E25">
        <f t="shared" si="0"/>
        <v>5</v>
      </c>
    </row>
    <row r="26" spans="1:5" x14ac:dyDescent="0.25">
      <c r="A26" t="s">
        <v>173</v>
      </c>
      <c r="B26">
        <v>44</v>
      </c>
      <c r="C26">
        <v>46</v>
      </c>
      <c r="E26">
        <f t="shared" si="0"/>
        <v>2</v>
      </c>
    </row>
    <row r="27" spans="1:5" x14ac:dyDescent="0.25">
      <c r="A27" t="s">
        <v>174</v>
      </c>
      <c r="B27">
        <v>51</v>
      </c>
      <c r="C27">
        <v>49</v>
      </c>
      <c r="E27">
        <f t="shared" si="0"/>
        <v>-2</v>
      </c>
    </row>
    <row r="28" spans="1:5" x14ac:dyDescent="0.25">
      <c r="A28" t="s">
        <v>175</v>
      </c>
      <c r="B28">
        <v>60</v>
      </c>
      <c r="C28">
        <v>57</v>
      </c>
      <c r="E28">
        <f t="shared" si="0"/>
        <v>-3</v>
      </c>
    </row>
    <row r="29" spans="1:5" x14ac:dyDescent="0.25">
      <c r="A29" t="s">
        <v>187</v>
      </c>
      <c r="B29">
        <v>61</v>
      </c>
      <c r="C29">
        <v>63</v>
      </c>
      <c r="E29">
        <f t="shared" si="0"/>
        <v>2</v>
      </c>
    </row>
    <row r="30" spans="1:5" x14ac:dyDescent="0.25">
      <c r="A30" t="s">
        <v>186</v>
      </c>
      <c r="B30">
        <v>56</v>
      </c>
      <c r="C30">
        <v>49</v>
      </c>
      <c r="E30">
        <f t="shared" si="0"/>
        <v>-7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55</v>
      </c>
      <c r="C33">
        <v>56</v>
      </c>
      <c r="E33">
        <f t="shared" si="0"/>
        <v>1</v>
      </c>
    </row>
    <row r="34" spans="1:5" x14ac:dyDescent="0.25">
      <c r="A34" t="s">
        <v>13</v>
      </c>
      <c r="B34">
        <v>55</v>
      </c>
      <c r="C34">
        <v>54</v>
      </c>
      <c r="E34">
        <f t="shared" si="0"/>
        <v>-1</v>
      </c>
    </row>
    <row r="35" spans="1:5" x14ac:dyDescent="0.25">
      <c r="A35" t="s">
        <v>68</v>
      </c>
      <c r="B35">
        <v>56</v>
      </c>
      <c r="C35">
        <v>55</v>
      </c>
      <c r="E35">
        <f t="shared" si="0"/>
        <v>-1</v>
      </c>
    </row>
    <row r="36" spans="1:5" x14ac:dyDescent="0.25">
      <c r="A36" t="s">
        <v>69</v>
      </c>
      <c r="B36">
        <v>57</v>
      </c>
      <c r="C36">
        <v>58</v>
      </c>
      <c r="E36">
        <f t="shared" si="0"/>
        <v>1</v>
      </c>
    </row>
    <row r="37" spans="1:5" x14ac:dyDescent="0.25">
      <c r="A37" t="s">
        <v>70</v>
      </c>
      <c r="B37">
        <v>47</v>
      </c>
      <c r="C37">
        <v>50</v>
      </c>
      <c r="E37">
        <f t="shared" si="0"/>
        <v>3</v>
      </c>
    </row>
    <row r="38" spans="1:5" x14ac:dyDescent="0.25">
      <c r="A38" t="s">
        <v>74</v>
      </c>
      <c r="B38">
        <v>53</v>
      </c>
      <c r="C38">
        <v>55</v>
      </c>
      <c r="E38">
        <f t="shared" si="0"/>
        <v>2</v>
      </c>
    </row>
    <row r="39" spans="1:5" x14ac:dyDescent="0.25">
      <c r="A39" t="s">
        <v>79</v>
      </c>
      <c r="B39">
        <v>49</v>
      </c>
      <c r="C39">
        <v>52</v>
      </c>
      <c r="E39">
        <f t="shared" si="0"/>
        <v>3</v>
      </c>
    </row>
    <row r="40" spans="1:5" x14ac:dyDescent="0.25">
      <c r="A40" t="s">
        <v>80</v>
      </c>
      <c r="B40">
        <v>59</v>
      </c>
      <c r="C40">
        <v>54</v>
      </c>
      <c r="E40">
        <f t="shared" si="0"/>
        <v>-5</v>
      </c>
    </row>
    <row r="41" spans="1:5" x14ac:dyDescent="0.25">
      <c r="A41" t="s">
        <v>86</v>
      </c>
      <c r="B41">
        <v>42</v>
      </c>
      <c r="C41">
        <v>39</v>
      </c>
      <c r="E41">
        <f t="shared" si="0"/>
        <v>-3</v>
      </c>
    </row>
    <row r="42" spans="1:5" x14ac:dyDescent="0.25">
      <c r="A42" t="s">
        <v>92</v>
      </c>
      <c r="B42">
        <v>42</v>
      </c>
      <c r="C42">
        <v>36</v>
      </c>
      <c r="E42">
        <f t="shared" si="0"/>
        <v>-6</v>
      </c>
    </row>
    <row r="43" spans="1:5" x14ac:dyDescent="0.25">
      <c r="A43" t="s">
        <v>93</v>
      </c>
      <c r="B43">
        <v>49</v>
      </c>
      <c r="C43">
        <v>49</v>
      </c>
      <c r="E43">
        <f t="shared" si="0"/>
        <v>0</v>
      </c>
    </row>
    <row r="44" spans="1:5" x14ac:dyDescent="0.25">
      <c r="A44" t="s">
        <v>110</v>
      </c>
      <c r="B44">
        <v>61</v>
      </c>
      <c r="C44">
        <v>61</v>
      </c>
      <c r="E44">
        <f t="shared" si="0"/>
        <v>0</v>
      </c>
    </row>
    <row r="45" spans="1:5" x14ac:dyDescent="0.25">
      <c r="A45" t="s">
        <v>120</v>
      </c>
      <c r="B45">
        <v>56</v>
      </c>
      <c r="C45">
        <v>60</v>
      </c>
      <c r="E45">
        <f t="shared" si="0"/>
        <v>4</v>
      </c>
    </row>
    <row r="46" spans="1:5" x14ac:dyDescent="0.25">
      <c r="A46" t="s">
        <v>125</v>
      </c>
      <c r="B46">
        <v>50</v>
      </c>
      <c r="C46">
        <v>48</v>
      </c>
      <c r="E46">
        <f t="shared" si="0"/>
        <v>-2</v>
      </c>
    </row>
    <row r="47" spans="1:5" x14ac:dyDescent="0.25">
      <c r="A47" t="s">
        <v>130</v>
      </c>
      <c r="B47">
        <v>71</v>
      </c>
      <c r="C47">
        <v>69</v>
      </c>
      <c r="E47">
        <f t="shared" si="0"/>
        <v>-2</v>
      </c>
    </row>
    <row r="48" spans="1:5" x14ac:dyDescent="0.25">
      <c r="A48" t="s">
        <v>145</v>
      </c>
      <c r="B48">
        <v>56</v>
      </c>
      <c r="C48">
        <v>59</v>
      </c>
      <c r="E48">
        <f t="shared" si="0"/>
        <v>3</v>
      </c>
    </row>
    <row r="49" spans="1:5" x14ac:dyDescent="0.25">
      <c r="A49" t="s">
        <v>144</v>
      </c>
      <c r="B49">
        <v>48</v>
      </c>
      <c r="C49">
        <v>49</v>
      </c>
      <c r="E49">
        <f t="shared" si="0"/>
        <v>1</v>
      </c>
    </row>
    <row r="50" spans="1:5" x14ac:dyDescent="0.25">
      <c r="A50" t="s">
        <v>132</v>
      </c>
      <c r="B50">
        <v>54</v>
      </c>
      <c r="C50">
        <v>55</v>
      </c>
      <c r="E50">
        <f t="shared" si="0"/>
        <v>1</v>
      </c>
    </row>
    <row r="51" spans="1:5" x14ac:dyDescent="0.25">
      <c r="A51" t="s">
        <v>146</v>
      </c>
      <c r="B51">
        <v>37</v>
      </c>
      <c r="C51">
        <v>38</v>
      </c>
      <c r="E51">
        <f t="shared" si="0"/>
        <v>1</v>
      </c>
    </row>
    <row r="52" spans="1:5" x14ac:dyDescent="0.25">
      <c r="A52" t="s">
        <v>147</v>
      </c>
      <c r="B52">
        <v>36</v>
      </c>
      <c r="C52">
        <v>34</v>
      </c>
      <c r="E52">
        <f t="shared" si="0"/>
        <v>-2</v>
      </c>
    </row>
    <row r="53" spans="1:5" x14ac:dyDescent="0.25">
      <c r="A53" t="s">
        <v>155</v>
      </c>
      <c r="B53">
        <v>50</v>
      </c>
      <c r="C53">
        <v>47</v>
      </c>
      <c r="E53">
        <f t="shared" si="0"/>
        <v>-3</v>
      </c>
    </row>
    <row r="54" spans="1:5" x14ac:dyDescent="0.25">
      <c r="A54" t="s">
        <v>158</v>
      </c>
      <c r="B54">
        <v>48</v>
      </c>
      <c r="C54">
        <v>45</v>
      </c>
      <c r="E54">
        <f t="shared" si="0"/>
        <v>-3</v>
      </c>
    </row>
    <row r="55" spans="1:5" x14ac:dyDescent="0.25">
      <c r="A55" t="s">
        <v>162</v>
      </c>
      <c r="B55">
        <v>67</v>
      </c>
      <c r="C55">
        <v>69</v>
      </c>
      <c r="E55">
        <f t="shared" si="0"/>
        <v>2</v>
      </c>
    </row>
    <row r="56" spans="1:5" x14ac:dyDescent="0.25">
      <c r="A56" t="s">
        <v>160</v>
      </c>
      <c r="B56">
        <v>60</v>
      </c>
      <c r="C56">
        <v>64</v>
      </c>
      <c r="E56">
        <f t="shared" si="0"/>
        <v>4</v>
      </c>
    </row>
    <row r="57" spans="1:5" x14ac:dyDescent="0.25">
      <c r="A57" t="s">
        <v>173</v>
      </c>
      <c r="B57">
        <v>47</v>
      </c>
      <c r="C57">
        <v>48</v>
      </c>
      <c r="E57">
        <f t="shared" si="0"/>
        <v>1</v>
      </c>
    </row>
    <row r="58" spans="1:5" x14ac:dyDescent="0.25">
      <c r="A58" t="s">
        <v>174</v>
      </c>
      <c r="B58">
        <v>45</v>
      </c>
      <c r="C58">
        <v>50</v>
      </c>
      <c r="E58">
        <f t="shared" si="0"/>
        <v>5</v>
      </c>
    </row>
    <row r="59" spans="1:5" x14ac:dyDescent="0.25">
      <c r="A59" t="s">
        <v>175</v>
      </c>
      <c r="B59">
        <v>60</v>
      </c>
      <c r="C59">
        <v>59</v>
      </c>
      <c r="E59">
        <f t="shared" si="0"/>
        <v>-1</v>
      </c>
    </row>
    <row r="60" spans="1:5" x14ac:dyDescent="0.25">
      <c r="A60" t="s">
        <v>187</v>
      </c>
      <c r="B60">
        <v>60</v>
      </c>
      <c r="C60">
        <v>57</v>
      </c>
      <c r="E60">
        <f t="shared" si="0"/>
        <v>-3</v>
      </c>
    </row>
    <row r="61" spans="1:5" x14ac:dyDescent="0.25">
      <c r="A61" t="s">
        <v>186</v>
      </c>
      <c r="B61">
        <v>55</v>
      </c>
      <c r="C61">
        <v>55</v>
      </c>
      <c r="E61">
        <f t="shared" si="0"/>
        <v>0</v>
      </c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66"/>
  <sheetViews>
    <sheetView zoomScale="55" zoomScaleNormal="55" workbookViewId="0">
      <selection activeCell="M51" sqref="M51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8</v>
      </c>
      <c r="C2">
        <v>5</v>
      </c>
      <c r="E2">
        <f>C2-B2</f>
        <v>-3</v>
      </c>
    </row>
    <row r="3" spans="1:5" x14ac:dyDescent="0.25">
      <c r="A3" t="s">
        <v>13</v>
      </c>
      <c r="B3">
        <v>6</v>
      </c>
      <c r="C3">
        <v>3</v>
      </c>
      <c r="E3">
        <f t="shared" ref="E3:E61" si="0">C3-B3</f>
        <v>-3</v>
      </c>
    </row>
    <row r="4" spans="1:5" x14ac:dyDescent="0.25">
      <c r="A4" t="s">
        <v>68</v>
      </c>
      <c r="B4">
        <v>12</v>
      </c>
      <c r="C4">
        <v>11</v>
      </c>
      <c r="E4">
        <f t="shared" si="0"/>
        <v>-1</v>
      </c>
    </row>
    <row r="5" spans="1:5" x14ac:dyDescent="0.25">
      <c r="A5" t="s">
        <v>69</v>
      </c>
      <c r="B5">
        <v>5</v>
      </c>
      <c r="C5">
        <v>2</v>
      </c>
      <c r="E5">
        <f t="shared" si="0"/>
        <v>-3</v>
      </c>
    </row>
    <row r="6" spans="1:5" x14ac:dyDescent="0.25">
      <c r="A6" t="s">
        <v>70</v>
      </c>
      <c r="B6">
        <v>7</v>
      </c>
      <c r="C6">
        <v>5</v>
      </c>
      <c r="E6">
        <f t="shared" si="0"/>
        <v>-2</v>
      </c>
    </row>
    <row r="7" spans="1:5" x14ac:dyDescent="0.25">
      <c r="A7" t="s">
        <v>74</v>
      </c>
      <c r="B7">
        <v>17</v>
      </c>
      <c r="C7">
        <v>16</v>
      </c>
      <c r="E7">
        <f t="shared" si="0"/>
        <v>-1</v>
      </c>
    </row>
    <row r="8" spans="1:5" x14ac:dyDescent="0.25">
      <c r="A8" t="s">
        <v>79</v>
      </c>
      <c r="B8">
        <v>5</v>
      </c>
      <c r="C8">
        <v>4</v>
      </c>
      <c r="E8">
        <f t="shared" si="0"/>
        <v>-1</v>
      </c>
    </row>
    <row r="9" spans="1:5" x14ac:dyDescent="0.25">
      <c r="A9" t="s">
        <v>80</v>
      </c>
      <c r="B9">
        <v>4</v>
      </c>
      <c r="C9">
        <v>3</v>
      </c>
      <c r="E9">
        <f t="shared" si="0"/>
        <v>-1</v>
      </c>
    </row>
    <row r="10" spans="1:5" x14ac:dyDescent="0.25">
      <c r="A10" t="s">
        <v>86</v>
      </c>
      <c r="B10">
        <v>18</v>
      </c>
      <c r="C10">
        <v>16</v>
      </c>
      <c r="E10">
        <f t="shared" si="0"/>
        <v>-2</v>
      </c>
    </row>
    <row r="11" spans="1:5" x14ac:dyDescent="0.25">
      <c r="A11" t="s">
        <v>92</v>
      </c>
      <c r="B11">
        <v>6</v>
      </c>
      <c r="C11">
        <v>10</v>
      </c>
      <c r="E11">
        <f t="shared" si="0"/>
        <v>4</v>
      </c>
    </row>
    <row r="12" spans="1:5" x14ac:dyDescent="0.25">
      <c r="A12" t="s">
        <v>93</v>
      </c>
      <c r="B12">
        <v>11</v>
      </c>
      <c r="C12">
        <v>11</v>
      </c>
      <c r="E12">
        <f t="shared" si="0"/>
        <v>0</v>
      </c>
    </row>
    <row r="13" spans="1:5" x14ac:dyDescent="0.25">
      <c r="A13" t="s">
        <v>110</v>
      </c>
      <c r="B13">
        <v>11</v>
      </c>
      <c r="C13">
        <v>11</v>
      </c>
      <c r="E13">
        <f t="shared" si="0"/>
        <v>0</v>
      </c>
    </row>
    <row r="14" spans="1:5" x14ac:dyDescent="0.25">
      <c r="A14" t="s">
        <v>120</v>
      </c>
      <c r="B14">
        <v>8</v>
      </c>
      <c r="C14">
        <v>5</v>
      </c>
      <c r="E14">
        <f t="shared" si="0"/>
        <v>-3</v>
      </c>
    </row>
    <row r="15" spans="1:5" x14ac:dyDescent="0.25">
      <c r="A15" t="s">
        <v>125</v>
      </c>
      <c r="B15">
        <v>4</v>
      </c>
      <c r="C15">
        <v>2</v>
      </c>
      <c r="E15">
        <f t="shared" si="0"/>
        <v>-2</v>
      </c>
    </row>
    <row r="16" spans="1:5" x14ac:dyDescent="0.25">
      <c r="A16" t="s">
        <v>130</v>
      </c>
      <c r="B16">
        <v>17</v>
      </c>
      <c r="C16">
        <v>18</v>
      </c>
      <c r="E16">
        <f t="shared" si="0"/>
        <v>1</v>
      </c>
    </row>
    <row r="17" spans="1:5" x14ac:dyDescent="0.25">
      <c r="A17" t="s">
        <v>145</v>
      </c>
      <c r="B17">
        <v>15</v>
      </c>
      <c r="C17">
        <v>16</v>
      </c>
      <c r="E17">
        <f t="shared" si="0"/>
        <v>1</v>
      </c>
    </row>
    <row r="18" spans="1:5" x14ac:dyDescent="0.25">
      <c r="A18" t="s">
        <v>144</v>
      </c>
      <c r="B18">
        <v>21</v>
      </c>
      <c r="C18">
        <v>20</v>
      </c>
      <c r="E18">
        <f t="shared" si="0"/>
        <v>-1</v>
      </c>
    </row>
    <row r="19" spans="1:5" x14ac:dyDescent="0.25">
      <c r="A19" t="s">
        <v>132</v>
      </c>
      <c r="B19">
        <v>14</v>
      </c>
      <c r="C19">
        <v>18</v>
      </c>
      <c r="E19">
        <f t="shared" si="0"/>
        <v>4</v>
      </c>
    </row>
    <row r="20" spans="1:5" x14ac:dyDescent="0.25">
      <c r="A20" t="s">
        <v>146</v>
      </c>
      <c r="B20">
        <v>5</v>
      </c>
      <c r="C20">
        <v>7</v>
      </c>
      <c r="E20">
        <f t="shared" si="0"/>
        <v>2</v>
      </c>
    </row>
    <row r="21" spans="1:5" x14ac:dyDescent="0.25">
      <c r="A21" t="s">
        <v>147</v>
      </c>
      <c r="B21">
        <v>6</v>
      </c>
      <c r="C21">
        <v>6</v>
      </c>
      <c r="E21">
        <f t="shared" si="0"/>
        <v>0</v>
      </c>
    </row>
    <row r="22" spans="1:5" x14ac:dyDescent="0.25">
      <c r="A22" t="s">
        <v>155</v>
      </c>
      <c r="B22">
        <v>20</v>
      </c>
      <c r="C22">
        <v>13</v>
      </c>
      <c r="E22">
        <f t="shared" si="0"/>
        <v>-7</v>
      </c>
    </row>
    <row r="23" spans="1:5" x14ac:dyDescent="0.25">
      <c r="A23" t="s">
        <v>158</v>
      </c>
      <c r="B23">
        <v>10</v>
      </c>
      <c r="C23">
        <v>6</v>
      </c>
      <c r="E23">
        <f t="shared" si="0"/>
        <v>-4</v>
      </c>
    </row>
    <row r="24" spans="1:5" x14ac:dyDescent="0.25">
      <c r="A24" t="s">
        <v>162</v>
      </c>
      <c r="B24">
        <v>12</v>
      </c>
      <c r="C24">
        <v>12</v>
      </c>
      <c r="E24">
        <f t="shared" si="0"/>
        <v>0</v>
      </c>
    </row>
    <row r="25" spans="1:5" x14ac:dyDescent="0.25">
      <c r="A25" t="s">
        <v>160</v>
      </c>
      <c r="B25">
        <v>7</v>
      </c>
      <c r="C25">
        <v>5</v>
      </c>
      <c r="E25">
        <f t="shared" si="0"/>
        <v>-2</v>
      </c>
    </row>
    <row r="26" spans="1:5" x14ac:dyDescent="0.25">
      <c r="A26" t="s">
        <v>173</v>
      </c>
      <c r="B26">
        <v>16</v>
      </c>
      <c r="C26">
        <v>15</v>
      </c>
      <c r="E26">
        <f t="shared" si="0"/>
        <v>-1</v>
      </c>
    </row>
    <row r="27" spans="1:5" x14ac:dyDescent="0.25">
      <c r="A27" t="s">
        <v>174</v>
      </c>
      <c r="B27">
        <v>5</v>
      </c>
      <c r="C27">
        <v>5</v>
      </c>
      <c r="E27">
        <f t="shared" si="0"/>
        <v>0</v>
      </c>
    </row>
    <row r="28" spans="1:5" x14ac:dyDescent="0.25">
      <c r="A28" t="s">
        <v>175</v>
      </c>
      <c r="B28">
        <v>5</v>
      </c>
      <c r="C28">
        <v>5</v>
      </c>
      <c r="E28">
        <f t="shared" si="0"/>
        <v>0</v>
      </c>
    </row>
    <row r="29" spans="1:5" x14ac:dyDescent="0.25">
      <c r="A29" t="s">
        <v>187</v>
      </c>
      <c r="B29">
        <v>11</v>
      </c>
      <c r="C29">
        <v>9</v>
      </c>
      <c r="E29">
        <f t="shared" si="0"/>
        <v>-2</v>
      </c>
    </row>
    <row r="30" spans="1:5" x14ac:dyDescent="0.25">
      <c r="A30" t="s">
        <v>186</v>
      </c>
      <c r="B30">
        <v>13</v>
      </c>
      <c r="C30">
        <v>14</v>
      </c>
      <c r="E30">
        <f t="shared" si="0"/>
        <v>1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4</v>
      </c>
      <c r="C33">
        <v>7</v>
      </c>
      <c r="E33">
        <f t="shared" si="0"/>
        <v>3</v>
      </c>
    </row>
    <row r="34" spans="1:5" x14ac:dyDescent="0.25">
      <c r="A34" t="s">
        <v>13</v>
      </c>
      <c r="B34">
        <v>8</v>
      </c>
      <c r="C34">
        <v>7</v>
      </c>
      <c r="E34">
        <f t="shared" si="0"/>
        <v>-1</v>
      </c>
    </row>
    <row r="35" spans="1:5" x14ac:dyDescent="0.25">
      <c r="A35" t="s">
        <v>68</v>
      </c>
      <c r="B35">
        <v>16</v>
      </c>
      <c r="C35">
        <v>9</v>
      </c>
      <c r="E35">
        <f t="shared" si="0"/>
        <v>-7</v>
      </c>
    </row>
    <row r="36" spans="1:5" x14ac:dyDescent="0.25">
      <c r="A36" t="s">
        <v>69</v>
      </c>
      <c r="B36">
        <v>2</v>
      </c>
      <c r="C36">
        <v>2</v>
      </c>
      <c r="E36">
        <f t="shared" si="0"/>
        <v>0</v>
      </c>
    </row>
    <row r="37" spans="1:5" x14ac:dyDescent="0.25">
      <c r="A37" t="s">
        <v>70</v>
      </c>
      <c r="B37">
        <v>7</v>
      </c>
      <c r="C37">
        <v>5</v>
      </c>
      <c r="E37">
        <f t="shared" si="0"/>
        <v>-2</v>
      </c>
    </row>
    <row r="38" spans="1:5" x14ac:dyDescent="0.25">
      <c r="A38" t="s">
        <v>74</v>
      </c>
      <c r="B38">
        <v>14</v>
      </c>
      <c r="C38">
        <v>14</v>
      </c>
      <c r="E38">
        <f t="shared" si="0"/>
        <v>0</v>
      </c>
    </row>
    <row r="39" spans="1:5" x14ac:dyDescent="0.25">
      <c r="A39" t="s">
        <v>79</v>
      </c>
      <c r="B39">
        <v>4</v>
      </c>
      <c r="C39">
        <v>3</v>
      </c>
      <c r="E39">
        <f t="shared" si="0"/>
        <v>-1</v>
      </c>
    </row>
    <row r="40" spans="1:5" x14ac:dyDescent="0.25">
      <c r="A40" t="s">
        <v>80</v>
      </c>
      <c r="B40">
        <v>2</v>
      </c>
      <c r="C40">
        <v>4</v>
      </c>
      <c r="E40">
        <f t="shared" si="0"/>
        <v>2</v>
      </c>
    </row>
    <row r="41" spans="1:5" x14ac:dyDescent="0.25">
      <c r="A41" t="s">
        <v>86</v>
      </c>
      <c r="B41">
        <v>13</v>
      </c>
      <c r="C41">
        <v>17</v>
      </c>
      <c r="E41">
        <f t="shared" si="0"/>
        <v>4</v>
      </c>
    </row>
    <row r="42" spans="1:5" x14ac:dyDescent="0.25">
      <c r="A42" t="s">
        <v>92</v>
      </c>
      <c r="B42">
        <v>11</v>
      </c>
      <c r="C42">
        <v>7</v>
      </c>
      <c r="E42">
        <f t="shared" si="0"/>
        <v>-4</v>
      </c>
    </row>
    <row r="43" spans="1:5" x14ac:dyDescent="0.25">
      <c r="A43" t="s">
        <v>93</v>
      </c>
      <c r="B43">
        <v>13</v>
      </c>
      <c r="C43">
        <v>15</v>
      </c>
      <c r="E43">
        <f t="shared" si="0"/>
        <v>2</v>
      </c>
    </row>
    <row r="44" spans="1:5" x14ac:dyDescent="0.25">
      <c r="A44" t="s">
        <v>110</v>
      </c>
      <c r="B44">
        <v>11</v>
      </c>
      <c r="C44">
        <v>8</v>
      </c>
      <c r="E44">
        <f t="shared" si="0"/>
        <v>-3</v>
      </c>
    </row>
    <row r="45" spans="1:5" x14ac:dyDescent="0.25">
      <c r="A45" t="s">
        <v>120</v>
      </c>
      <c r="B45">
        <v>6</v>
      </c>
      <c r="C45">
        <v>6</v>
      </c>
      <c r="E45">
        <f t="shared" si="0"/>
        <v>0</v>
      </c>
    </row>
    <row r="46" spans="1:5" x14ac:dyDescent="0.25">
      <c r="A46" t="s">
        <v>125</v>
      </c>
      <c r="B46">
        <v>6</v>
      </c>
      <c r="C46">
        <v>2</v>
      </c>
      <c r="E46">
        <f t="shared" si="0"/>
        <v>-4</v>
      </c>
    </row>
    <row r="47" spans="1:5" x14ac:dyDescent="0.25">
      <c r="A47" t="s">
        <v>130</v>
      </c>
      <c r="B47">
        <v>19</v>
      </c>
      <c r="C47">
        <v>19</v>
      </c>
      <c r="E47">
        <f t="shared" si="0"/>
        <v>0</v>
      </c>
    </row>
    <row r="48" spans="1:5" x14ac:dyDescent="0.25">
      <c r="A48" t="s">
        <v>145</v>
      </c>
      <c r="B48">
        <v>13</v>
      </c>
      <c r="C48">
        <v>15</v>
      </c>
      <c r="E48">
        <f t="shared" si="0"/>
        <v>2</v>
      </c>
    </row>
    <row r="49" spans="1:5" x14ac:dyDescent="0.25">
      <c r="A49" t="s">
        <v>144</v>
      </c>
      <c r="B49">
        <v>20</v>
      </c>
      <c r="C49">
        <v>19</v>
      </c>
      <c r="E49">
        <f t="shared" si="0"/>
        <v>-1</v>
      </c>
    </row>
    <row r="50" spans="1:5" x14ac:dyDescent="0.25">
      <c r="A50" t="s">
        <v>132</v>
      </c>
      <c r="B50">
        <v>14</v>
      </c>
      <c r="C50">
        <v>17</v>
      </c>
      <c r="E50">
        <f t="shared" si="0"/>
        <v>3</v>
      </c>
    </row>
    <row r="51" spans="1:5" x14ac:dyDescent="0.25">
      <c r="A51" t="s">
        <v>146</v>
      </c>
      <c r="B51">
        <v>3</v>
      </c>
      <c r="C51">
        <v>3</v>
      </c>
      <c r="E51">
        <f t="shared" si="0"/>
        <v>0</v>
      </c>
    </row>
    <row r="52" spans="1:5" x14ac:dyDescent="0.25">
      <c r="A52" t="s">
        <v>147</v>
      </c>
      <c r="B52">
        <v>6</v>
      </c>
      <c r="C52">
        <v>5</v>
      </c>
      <c r="E52">
        <f t="shared" si="0"/>
        <v>-1</v>
      </c>
    </row>
    <row r="53" spans="1:5" x14ac:dyDescent="0.25">
      <c r="A53" t="s">
        <v>155</v>
      </c>
      <c r="B53">
        <v>15</v>
      </c>
      <c r="C53">
        <v>15</v>
      </c>
      <c r="E53">
        <f t="shared" si="0"/>
        <v>0</v>
      </c>
    </row>
    <row r="54" spans="1:5" x14ac:dyDescent="0.25">
      <c r="A54" t="s">
        <v>158</v>
      </c>
      <c r="B54">
        <v>10</v>
      </c>
      <c r="C54">
        <v>9</v>
      </c>
      <c r="E54">
        <f t="shared" si="0"/>
        <v>-1</v>
      </c>
    </row>
    <row r="55" spans="1:5" x14ac:dyDescent="0.25">
      <c r="A55" t="s">
        <v>162</v>
      </c>
      <c r="B55">
        <v>9</v>
      </c>
      <c r="C55">
        <v>14</v>
      </c>
      <c r="E55">
        <f t="shared" si="0"/>
        <v>5</v>
      </c>
    </row>
    <row r="56" spans="1:5" x14ac:dyDescent="0.25">
      <c r="A56" t="s">
        <v>160</v>
      </c>
      <c r="B56">
        <v>5</v>
      </c>
      <c r="C56">
        <v>3</v>
      </c>
      <c r="E56">
        <f t="shared" si="0"/>
        <v>-2</v>
      </c>
    </row>
    <row r="57" spans="1:5" x14ac:dyDescent="0.25">
      <c r="A57" t="s">
        <v>173</v>
      </c>
      <c r="B57">
        <v>14</v>
      </c>
      <c r="C57">
        <v>12</v>
      </c>
      <c r="E57">
        <f t="shared" si="0"/>
        <v>-2</v>
      </c>
    </row>
    <row r="58" spans="1:5" x14ac:dyDescent="0.25">
      <c r="A58" t="s">
        <v>174</v>
      </c>
      <c r="B58">
        <v>7</v>
      </c>
      <c r="C58">
        <v>8</v>
      </c>
      <c r="E58">
        <f t="shared" si="0"/>
        <v>1</v>
      </c>
    </row>
    <row r="59" spans="1:5" x14ac:dyDescent="0.25">
      <c r="A59" t="s">
        <v>175</v>
      </c>
      <c r="B59">
        <v>5</v>
      </c>
      <c r="C59">
        <v>5</v>
      </c>
      <c r="E59">
        <f t="shared" si="0"/>
        <v>0</v>
      </c>
    </row>
    <row r="60" spans="1:5" x14ac:dyDescent="0.25">
      <c r="A60" t="s">
        <v>187</v>
      </c>
      <c r="B60">
        <v>10</v>
      </c>
      <c r="C60">
        <v>7</v>
      </c>
      <c r="E60">
        <f t="shared" si="0"/>
        <v>-3</v>
      </c>
    </row>
    <row r="61" spans="1:5" x14ac:dyDescent="0.25">
      <c r="A61" t="s">
        <v>186</v>
      </c>
      <c r="B61">
        <v>12</v>
      </c>
      <c r="C61">
        <v>10</v>
      </c>
      <c r="E61">
        <f t="shared" si="0"/>
        <v>-2</v>
      </c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66"/>
  <sheetViews>
    <sheetView zoomScale="55" zoomScaleNormal="55" workbookViewId="0">
      <selection activeCell="I35" sqref="I35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6</v>
      </c>
      <c r="C2">
        <v>6</v>
      </c>
      <c r="E2">
        <f>C2-B2</f>
        <v>0</v>
      </c>
    </row>
    <row r="3" spans="1:5" x14ac:dyDescent="0.25">
      <c r="A3" t="s">
        <v>13</v>
      </c>
      <c r="B3">
        <v>4</v>
      </c>
      <c r="C3">
        <v>4</v>
      </c>
      <c r="E3">
        <f t="shared" ref="E3:E61" si="0">C3-B3</f>
        <v>0</v>
      </c>
    </row>
    <row r="4" spans="1:5" x14ac:dyDescent="0.25">
      <c r="A4" t="s">
        <v>68</v>
      </c>
      <c r="B4">
        <v>11</v>
      </c>
      <c r="C4">
        <v>10</v>
      </c>
      <c r="E4">
        <f t="shared" si="0"/>
        <v>-1</v>
      </c>
    </row>
    <row r="5" spans="1:5" x14ac:dyDescent="0.25">
      <c r="A5" t="s">
        <v>69</v>
      </c>
      <c r="B5">
        <v>3</v>
      </c>
      <c r="C5">
        <v>4</v>
      </c>
      <c r="E5">
        <f t="shared" si="0"/>
        <v>1</v>
      </c>
    </row>
    <row r="6" spans="1:5" x14ac:dyDescent="0.25">
      <c r="A6" t="s">
        <v>70</v>
      </c>
      <c r="B6">
        <v>3</v>
      </c>
      <c r="C6">
        <v>3</v>
      </c>
      <c r="E6">
        <f t="shared" si="0"/>
        <v>0</v>
      </c>
    </row>
    <row r="7" spans="1:5" x14ac:dyDescent="0.25">
      <c r="A7" t="s">
        <v>74</v>
      </c>
      <c r="B7">
        <v>9</v>
      </c>
      <c r="C7">
        <v>10</v>
      </c>
      <c r="E7">
        <f t="shared" si="0"/>
        <v>1</v>
      </c>
    </row>
    <row r="8" spans="1:5" x14ac:dyDescent="0.25">
      <c r="A8" t="s">
        <v>79</v>
      </c>
      <c r="B8">
        <v>7</v>
      </c>
      <c r="C8">
        <v>7</v>
      </c>
      <c r="E8">
        <f t="shared" si="0"/>
        <v>0</v>
      </c>
    </row>
    <row r="9" spans="1:5" x14ac:dyDescent="0.25">
      <c r="A9" t="s">
        <v>80</v>
      </c>
      <c r="B9">
        <v>5</v>
      </c>
      <c r="C9">
        <v>5</v>
      </c>
      <c r="E9">
        <f t="shared" si="0"/>
        <v>0</v>
      </c>
    </row>
    <row r="10" spans="1:5" x14ac:dyDescent="0.25">
      <c r="A10" t="s">
        <v>86</v>
      </c>
      <c r="B10">
        <v>11</v>
      </c>
      <c r="C10">
        <v>13</v>
      </c>
      <c r="E10">
        <f t="shared" si="0"/>
        <v>2</v>
      </c>
    </row>
    <row r="11" spans="1:5" x14ac:dyDescent="0.25">
      <c r="A11" t="s">
        <v>92</v>
      </c>
      <c r="B11">
        <v>10</v>
      </c>
      <c r="C11">
        <v>9</v>
      </c>
      <c r="E11">
        <f t="shared" si="0"/>
        <v>-1</v>
      </c>
    </row>
    <row r="12" spans="1:5" x14ac:dyDescent="0.25">
      <c r="A12" t="s">
        <v>93</v>
      </c>
      <c r="B12">
        <v>7</v>
      </c>
      <c r="C12">
        <v>6</v>
      </c>
      <c r="E12">
        <f t="shared" si="0"/>
        <v>-1</v>
      </c>
    </row>
    <row r="13" spans="1:5" x14ac:dyDescent="0.25">
      <c r="A13" t="s">
        <v>110</v>
      </c>
      <c r="B13">
        <v>9</v>
      </c>
      <c r="C13">
        <v>7</v>
      </c>
      <c r="E13">
        <f t="shared" si="0"/>
        <v>-2</v>
      </c>
    </row>
    <row r="14" spans="1:5" x14ac:dyDescent="0.25">
      <c r="A14" t="s">
        <v>120</v>
      </c>
      <c r="B14">
        <v>14</v>
      </c>
      <c r="C14">
        <v>13</v>
      </c>
      <c r="E14">
        <f t="shared" si="0"/>
        <v>-1</v>
      </c>
    </row>
    <row r="15" spans="1:5" x14ac:dyDescent="0.25">
      <c r="A15" t="s">
        <v>125</v>
      </c>
      <c r="B15">
        <v>2</v>
      </c>
      <c r="C15">
        <v>2</v>
      </c>
      <c r="E15">
        <f t="shared" si="0"/>
        <v>0</v>
      </c>
    </row>
    <row r="16" spans="1:5" x14ac:dyDescent="0.25">
      <c r="A16" t="s">
        <v>130</v>
      </c>
      <c r="B16">
        <v>4</v>
      </c>
      <c r="C16">
        <v>5</v>
      </c>
      <c r="E16">
        <f t="shared" si="0"/>
        <v>1</v>
      </c>
    </row>
    <row r="17" spans="1:5" x14ac:dyDescent="0.25">
      <c r="A17" t="s">
        <v>145</v>
      </c>
      <c r="B17">
        <v>9</v>
      </c>
      <c r="C17">
        <v>10</v>
      </c>
      <c r="E17">
        <f t="shared" si="0"/>
        <v>1</v>
      </c>
    </row>
    <row r="18" spans="1:5" x14ac:dyDescent="0.25">
      <c r="A18" t="s">
        <v>144</v>
      </c>
      <c r="B18">
        <v>13</v>
      </c>
      <c r="C18">
        <v>14</v>
      </c>
      <c r="E18">
        <f t="shared" si="0"/>
        <v>1</v>
      </c>
    </row>
    <row r="19" spans="1:5" x14ac:dyDescent="0.25">
      <c r="A19" t="s">
        <v>132</v>
      </c>
      <c r="B19">
        <v>12</v>
      </c>
      <c r="C19">
        <v>12</v>
      </c>
      <c r="E19">
        <f t="shared" si="0"/>
        <v>0</v>
      </c>
    </row>
    <row r="20" spans="1:5" x14ac:dyDescent="0.25">
      <c r="A20" t="s">
        <v>146</v>
      </c>
      <c r="B20">
        <v>2</v>
      </c>
      <c r="C20">
        <v>5</v>
      </c>
      <c r="E20">
        <f t="shared" si="0"/>
        <v>3</v>
      </c>
    </row>
    <row r="21" spans="1:5" x14ac:dyDescent="0.25">
      <c r="A21" t="s">
        <v>147</v>
      </c>
      <c r="B21">
        <v>11</v>
      </c>
      <c r="C21">
        <v>7</v>
      </c>
      <c r="E21">
        <f t="shared" si="0"/>
        <v>-4</v>
      </c>
    </row>
    <row r="22" spans="1:5" x14ac:dyDescent="0.25">
      <c r="A22" t="s">
        <v>155</v>
      </c>
      <c r="B22">
        <v>12</v>
      </c>
      <c r="C22">
        <v>10</v>
      </c>
      <c r="E22">
        <f t="shared" si="0"/>
        <v>-2</v>
      </c>
    </row>
    <row r="23" spans="1:5" x14ac:dyDescent="0.25">
      <c r="A23" t="s">
        <v>158</v>
      </c>
      <c r="B23">
        <v>3</v>
      </c>
      <c r="C23">
        <v>3</v>
      </c>
      <c r="E23">
        <f t="shared" si="0"/>
        <v>0</v>
      </c>
    </row>
    <row r="24" spans="1:5" x14ac:dyDescent="0.25">
      <c r="A24" t="s">
        <v>162</v>
      </c>
      <c r="B24">
        <v>12</v>
      </c>
      <c r="C24">
        <v>11</v>
      </c>
      <c r="E24">
        <f t="shared" si="0"/>
        <v>-1</v>
      </c>
    </row>
    <row r="25" spans="1:5" x14ac:dyDescent="0.25">
      <c r="A25" t="s">
        <v>160</v>
      </c>
      <c r="B25">
        <v>3</v>
      </c>
      <c r="C25">
        <v>3</v>
      </c>
      <c r="E25">
        <f t="shared" si="0"/>
        <v>0</v>
      </c>
    </row>
    <row r="26" spans="1:5" x14ac:dyDescent="0.25">
      <c r="A26" t="s">
        <v>173</v>
      </c>
      <c r="B26">
        <v>5</v>
      </c>
      <c r="C26">
        <v>5</v>
      </c>
      <c r="E26">
        <f t="shared" si="0"/>
        <v>0</v>
      </c>
    </row>
    <row r="27" spans="1:5" x14ac:dyDescent="0.25">
      <c r="A27" t="s">
        <v>174</v>
      </c>
      <c r="B27">
        <v>4</v>
      </c>
      <c r="C27">
        <v>2</v>
      </c>
      <c r="E27">
        <f t="shared" si="0"/>
        <v>-2</v>
      </c>
    </row>
    <row r="28" spans="1:5" x14ac:dyDescent="0.25">
      <c r="A28" t="s">
        <v>175</v>
      </c>
      <c r="B28">
        <v>11</v>
      </c>
      <c r="C28">
        <v>10</v>
      </c>
      <c r="E28">
        <f t="shared" si="0"/>
        <v>-1</v>
      </c>
    </row>
    <row r="29" spans="1:5" x14ac:dyDescent="0.25">
      <c r="A29" t="s">
        <v>187</v>
      </c>
      <c r="B29">
        <v>7</v>
      </c>
      <c r="C29">
        <v>6</v>
      </c>
      <c r="E29">
        <f t="shared" si="0"/>
        <v>-1</v>
      </c>
    </row>
    <row r="30" spans="1:5" x14ac:dyDescent="0.25">
      <c r="A30" t="s">
        <v>186</v>
      </c>
      <c r="B30">
        <v>9</v>
      </c>
      <c r="C30">
        <v>12</v>
      </c>
      <c r="E30">
        <f t="shared" si="0"/>
        <v>3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7</v>
      </c>
      <c r="C33">
        <v>6</v>
      </c>
      <c r="E33">
        <f t="shared" si="0"/>
        <v>-1</v>
      </c>
    </row>
    <row r="34" spans="1:5" x14ac:dyDescent="0.25">
      <c r="A34" t="s">
        <v>13</v>
      </c>
      <c r="B34">
        <v>5</v>
      </c>
      <c r="C34">
        <v>4</v>
      </c>
      <c r="E34">
        <f t="shared" si="0"/>
        <v>-1</v>
      </c>
    </row>
    <row r="35" spans="1:5" x14ac:dyDescent="0.25">
      <c r="A35" t="s">
        <v>68</v>
      </c>
      <c r="B35">
        <v>8</v>
      </c>
      <c r="C35">
        <v>10</v>
      </c>
      <c r="E35">
        <f t="shared" si="0"/>
        <v>2</v>
      </c>
    </row>
    <row r="36" spans="1:5" x14ac:dyDescent="0.25">
      <c r="A36" t="s">
        <v>69</v>
      </c>
      <c r="B36">
        <v>5</v>
      </c>
      <c r="C36">
        <v>3</v>
      </c>
      <c r="E36">
        <f t="shared" si="0"/>
        <v>-2</v>
      </c>
    </row>
    <row r="37" spans="1:5" x14ac:dyDescent="0.25">
      <c r="A37" t="s">
        <v>70</v>
      </c>
      <c r="B37">
        <v>4</v>
      </c>
      <c r="C37">
        <v>4</v>
      </c>
      <c r="E37">
        <f t="shared" si="0"/>
        <v>0</v>
      </c>
    </row>
    <row r="38" spans="1:5" x14ac:dyDescent="0.25">
      <c r="A38" t="s">
        <v>74</v>
      </c>
      <c r="B38">
        <v>10</v>
      </c>
      <c r="C38">
        <v>8</v>
      </c>
      <c r="E38">
        <f t="shared" si="0"/>
        <v>-2</v>
      </c>
    </row>
    <row r="39" spans="1:5" x14ac:dyDescent="0.25">
      <c r="A39" t="s">
        <v>79</v>
      </c>
      <c r="B39">
        <v>7</v>
      </c>
      <c r="C39">
        <v>7</v>
      </c>
      <c r="E39">
        <f t="shared" si="0"/>
        <v>0</v>
      </c>
    </row>
    <row r="40" spans="1:5" x14ac:dyDescent="0.25">
      <c r="A40" t="s">
        <v>80</v>
      </c>
      <c r="B40">
        <v>7</v>
      </c>
      <c r="C40">
        <v>7</v>
      </c>
      <c r="E40">
        <f t="shared" si="0"/>
        <v>0</v>
      </c>
    </row>
    <row r="41" spans="1:5" x14ac:dyDescent="0.25">
      <c r="A41" t="s">
        <v>86</v>
      </c>
      <c r="B41">
        <v>13</v>
      </c>
      <c r="C41">
        <v>13</v>
      </c>
      <c r="E41">
        <f t="shared" si="0"/>
        <v>0</v>
      </c>
    </row>
    <row r="42" spans="1:5" x14ac:dyDescent="0.25">
      <c r="A42" t="s">
        <v>92</v>
      </c>
      <c r="B42">
        <v>13</v>
      </c>
      <c r="C42">
        <v>11</v>
      </c>
      <c r="E42">
        <f t="shared" si="0"/>
        <v>-2</v>
      </c>
    </row>
    <row r="43" spans="1:5" x14ac:dyDescent="0.25">
      <c r="A43" t="s">
        <v>93</v>
      </c>
      <c r="B43">
        <v>7</v>
      </c>
      <c r="C43">
        <v>9</v>
      </c>
      <c r="E43">
        <f t="shared" si="0"/>
        <v>2</v>
      </c>
    </row>
    <row r="44" spans="1:5" x14ac:dyDescent="0.25">
      <c r="A44" t="s">
        <v>110</v>
      </c>
      <c r="B44">
        <v>7</v>
      </c>
      <c r="C44">
        <v>7</v>
      </c>
      <c r="E44">
        <f t="shared" si="0"/>
        <v>0</v>
      </c>
    </row>
    <row r="45" spans="1:5" x14ac:dyDescent="0.25">
      <c r="A45" t="s">
        <v>120</v>
      </c>
      <c r="B45">
        <v>13</v>
      </c>
      <c r="C45">
        <v>13</v>
      </c>
      <c r="E45">
        <f t="shared" si="0"/>
        <v>0</v>
      </c>
    </row>
    <row r="46" spans="1:5" x14ac:dyDescent="0.25">
      <c r="A46" t="s">
        <v>125</v>
      </c>
      <c r="B46">
        <v>8</v>
      </c>
      <c r="C46">
        <v>3</v>
      </c>
      <c r="E46">
        <f t="shared" si="0"/>
        <v>-5</v>
      </c>
    </row>
    <row r="47" spans="1:5" x14ac:dyDescent="0.25">
      <c r="A47" t="s">
        <v>130</v>
      </c>
      <c r="B47">
        <v>6</v>
      </c>
      <c r="C47">
        <v>5</v>
      </c>
      <c r="E47">
        <f t="shared" si="0"/>
        <v>-1</v>
      </c>
    </row>
    <row r="48" spans="1:5" x14ac:dyDescent="0.25">
      <c r="A48" t="s">
        <v>145</v>
      </c>
      <c r="B48">
        <v>11</v>
      </c>
      <c r="C48">
        <v>9</v>
      </c>
      <c r="E48">
        <f t="shared" si="0"/>
        <v>-2</v>
      </c>
    </row>
    <row r="49" spans="1:5" x14ac:dyDescent="0.25">
      <c r="A49" t="s">
        <v>144</v>
      </c>
      <c r="B49">
        <v>12</v>
      </c>
      <c r="C49">
        <v>13</v>
      </c>
      <c r="E49">
        <f t="shared" si="0"/>
        <v>1</v>
      </c>
    </row>
    <row r="50" spans="1:5" x14ac:dyDescent="0.25">
      <c r="A50" t="s">
        <v>132</v>
      </c>
      <c r="B50">
        <v>11</v>
      </c>
      <c r="C50">
        <v>12</v>
      </c>
      <c r="E50">
        <f t="shared" si="0"/>
        <v>1</v>
      </c>
    </row>
    <row r="51" spans="1:5" x14ac:dyDescent="0.25">
      <c r="A51" t="s">
        <v>146</v>
      </c>
      <c r="B51">
        <v>4</v>
      </c>
      <c r="C51">
        <v>4</v>
      </c>
      <c r="E51">
        <f t="shared" si="0"/>
        <v>0</v>
      </c>
    </row>
    <row r="52" spans="1:5" x14ac:dyDescent="0.25">
      <c r="A52" t="s">
        <v>147</v>
      </c>
      <c r="B52">
        <v>8</v>
      </c>
      <c r="C52">
        <v>8</v>
      </c>
      <c r="E52">
        <f t="shared" si="0"/>
        <v>0</v>
      </c>
    </row>
    <row r="53" spans="1:5" x14ac:dyDescent="0.25">
      <c r="A53" t="s">
        <v>155</v>
      </c>
      <c r="B53">
        <v>10</v>
      </c>
      <c r="C53">
        <v>11</v>
      </c>
      <c r="E53">
        <f t="shared" si="0"/>
        <v>1</v>
      </c>
    </row>
    <row r="54" spans="1:5" x14ac:dyDescent="0.25">
      <c r="A54" t="s">
        <v>158</v>
      </c>
      <c r="B54">
        <v>5</v>
      </c>
      <c r="C54">
        <v>5</v>
      </c>
      <c r="E54">
        <f t="shared" si="0"/>
        <v>0</v>
      </c>
    </row>
    <row r="55" spans="1:5" x14ac:dyDescent="0.25">
      <c r="A55" t="s">
        <v>162</v>
      </c>
      <c r="B55">
        <v>9</v>
      </c>
      <c r="C55">
        <v>9</v>
      </c>
      <c r="E55">
        <f t="shared" si="0"/>
        <v>0</v>
      </c>
    </row>
    <row r="56" spans="1:5" x14ac:dyDescent="0.25">
      <c r="A56" t="s">
        <v>160</v>
      </c>
      <c r="B56">
        <v>2</v>
      </c>
      <c r="C56">
        <v>3</v>
      </c>
      <c r="E56">
        <f t="shared" si="0"/>
        <v>1</v>
      </c>
    </row>
    <row r="57" spans="1:5" x14ac:dyDescent="0.25">
      <c r="A57" t="s">
        <v>173</v>
      </c>
      <c r="B57">
        <v>5</v>
      </c>
      <c r="C57">
        <v>4</v>
      </c>
      <c r="E57">
        <f t="shared" si="0"/>
        <v>-1</v>
      </c>
    </row>
    <row r="58" spans="1:5" x14ac:dyDescent="0.25">
      <c r="A58" t="s">
        <v>174</v>
      </c>
      <c r="B58">
        <v>3</v>
      </c>
      <c r="C58">
        <v>3</v>
      </c>
      <c r="E58">
        <f t="shared" si="0"/>
        <v>0</v>
      </c>
    </row>
    <row r="59" spans="1:5" x14ac:dyDescent="0.25">
      <c r="A59" t="s">
        <v>175</v>
      </c>
      <c r="B59">
        <v>12</v>
      </c>
      <c r="C59">
        <v>11</v>
      </c>
      <c r="E59">
        <f t="shared" si="0"/>
        <v>-1</v>
      </c>
    </row>
    <row r="60" spans="1:5" x14ac:dyDescent="0.25">
      <c r="A60" t="s">
        <v>187</v>
      </c>
      <c r="B60">
        <v>9</v>
      </c>
      <c r="C60">
        <v>10</v>
      </c>
      <c r="E60">
        <f t="shared" si="0"/>
        <v>1</v>
      </c>
    </row>
    <row r="61" spans="1:5" x14ac:dyDescent="0.25">
      <c r="A61" t="s">
        <v>186</v>
      </c>
      <c r="B61">
        <v>9</v>
      </c>
      <c r="C61">
        <v>8</v>
      </c>
      <c r="E61">
        <f t="shared" si="0"/>
        <v>-1</v>
      </c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66"/>
  <sheetViews>
    <sheetView zoomScale="55" zoomScaleNormal="55" workbookViewId="0">
      <selection activeCell="I28" sqref="I28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7</v>
      </c>
      <c r="C2">
        <v>4</v>
      </c>
      <c r="E2">
        <f>C2-B2</f>
        <v>-3</v>
      </c>
    </row>
    <row r="3" spans="1:5" x14ac:dyDescent="0.25">
      <c r="A3" t="s">
        <v>13</v>
      </c>
      <c r="B3">
        <v>0</v>
      </c>
      <c r="C3">
        <v>1</v>
      </c>
      <c r="E3">
        <f t="shared" ref="E3:E61" si="0">C3-B3</f>
        <v>1</v>
      </c>
    </row>
    <row r="4" spans="1:5" x14ac:dyDescent="0.25">
      <c r="A4" t="s">
        <v>68</v>
      </c>
      <c r="B4">
        <v>9</v>
      </c>
      <c r="C4">
        <v>11</v>
      </c>
      <c r="E4">
        <f t="shared" si="0"/>
        <v>2</v>
      </c>
    </row>
    <row r="5" spans="1:5" x14ac:dyDescent="0.25">
      <c r="A5" t="s">
        <v>69</v>
      </c>
      <c r="B5">
        <v>9</v>
      </c>
      <c r="C5">
        <v>7</v>
      </c>
      <c r="E5">
        <f t="shared" si="0"/>
        <v>-2</v>
      </c>
    </row>
    <row r="6" spans="1:5" x14ac:dyDescent="0.25">
      <c r="A6" t="s">
        <v>70</v>
      </c>
      <c r="B6">
        <v>1</v>
      </c>
      <c r="C6">
        <v>1</v>
      </c>
      <c r="E6">
        <f t="shared" si="0"/>
        <v>0</v>
      </c>
    </row>
    <row r="7" spans="1:5" x14ac:dyDescent="0.25">
      <c r="A7" t="s">
        <v>74</v>
      </c>
      <c r="B7">
        <v>7</v>
      </c>
      <c r="C7">
        <v>7</v>
      </c>
      <c r="E7">
        <f t="shared" si="0"/>
        <v>0</v>
      </c>
    </row>
    <row r="8" spans="1:5" x14ac:dyDescent="0.25">
      <c r="A8" t="s">
        <v>79</v>
      </c>
      <c r="B8">
        <v>5</v>
      </c>
      <c r="C8">
        <v>9</v>
      </c>
      <c r="E8">
        <f t="shared" si="0"/>
        <v>4</v>
      </c>
    </row>
    <row r="9" spans="1:5" x14ac:dyDescent="0.25">
      <c r="A9" t="s">
        <v>80</v>
      </c>
      <c r="B9">
        <v>11</v>
      </c>
      <c r="C9">
        <v>11</v>
      </c>
      <c r="E9">
        <f t="shared" si="0"/>
        <v>0</v>
      </c>
    </row>
    <row r="10" spans="1:5" x14ac:dyDescent="0.25">
      <c r="A10" t="s">
        <v>86</v>
      </c>
      <c r="B10">
        <v>6</v>
      </c>
      <c r="C10">
        <v>4</v>
      </c>
      <c r="E10">
        <f t="shared" si="0"/>
        <v>-2</v>
      </c>
    </row>
    <row r="11" spans="1:5" x14ac:dyDescent="0.25">
      <c r="A11" t="s">
        <v>92</v>
      </c>
      <c r="B11">
        <v>6</v>
      </c>
      <c r="C11">
        <v>8</v>
      </c>
      <c r="E11">
        <f t="shared" si="0"/>
        <v>2</v>
      </c>
    </row>
    <row r="12" spans="1:5" x14ac:dyDescent="0.25">
      <c r="A12" t="s">
        <v>93</v>
      </c>
      <c r="B12">
        <v>3</v>
      </c>
      <c r="C12">
        <v>3</v>
      </c>
      <c r="E12">
        <f t="shared" si="0"/>
        <v>0</v>
      </c>
    </row>
    <row r="13" spans="1:5" x14ac:dyDescent="0.25">
      <c r="A13" t="s">
        <v>110</v>
      </c>
      <c r="B13">
        <v>9</v>
      </c>
      <c r="C13">
        <v>11</v>
      </c>
      <c r="E13">
        <f t="shared" si="0"/>
        <v>2</v>
      </c>
    </row>
    <row r="14" spans="1:5" x14ac:dyDescent="0.25">
      <c r="A14" t="s">
        <v>120</v>
      </c>
      <c r="B14">
        <v>9</v>
      </c>
      <c r="C14">
        <v>9</v>
      </c>
      <c r="E14">
        <f t="shared" si="0"/>
        <v>0</v>
      </c>
    </row>
    <row r="15" spans="1:5" x14ac:dyDescent="0.25">
      <c r="A15" t="s">
        <v>125</v>
      </c>
      <c r="B15">
        <v>0</v>
      </c>
      <c r="C15">
        <v>1</v>
      </c>
      <c r="E15">
        <f t="shared" si="0"/>
        <v>1</v>
      </c>
    </row>
    <row r="16" spans="1:5" x14ac:dyDescent="0.25">
      <c r="A16" t="s">
        <v>130</v>
      </c>
      <c r="B16">
        <v>7</v>
      </c>
      <c r="C16">
        <v>8</v>
      </c>
      <c r="E16">
        <f t="shared" si="0"/>
        <v>1</v>
      </c>
    </row>
    <row r="17" spans="1:5" x14ac:dyDescent="0.25">
      <c r="A17" t="s">
        <v>145</v>
      </c>
      <c r="B17">
        <v>12</v>
      </c>
      <c r="C17">
        <v>12</v>
      </c>
      <c r="E17">
        <f t="shared" si="0"/>
        <v>0</v>
      </c>
    </row>
    <row r="18" spans="1:5" x14ac:dyDescent="0.25">
      <c r="A18" t="s">
        <v>144</v>
      </c>
      <c r="B18">
        <v>13</v>
      </c>
      <c r="C18">
        <v>13</v>
      </c>
      <c r="E18">
        <f t="shared" si="0"/>
        <v>0</v>
      </c>
    </row>
    <row r="19" spans="1:5" x14ac:dyDescent="0.25">
      <c r="A19" t="s">
        <v>132</v>
      </c>
      <c r="B19">
        <v>11</v>
      </c>
      <c r="C19">
        <v>12</v>
      </c>
      <c r="E19">
        <f t="shared" si="0"/>
        <v>1</v>
      </c>
    </row>
    <row r="20" spans="1:5" x14ac:dyDescent="0.25">
      <c r="A20" t="s">
        <v>146</v>
      </c>
      <c r="B20">
        <v>0</v>
      </c>
      <c r="C20">
        <v>4</v>
      </c>
      <c r="E20">
        <f t="shared" si="0"/>
        <v>4</v>
      </c>
    </row>
    <row r="21" spans="1:5" x14ac:dyDescent="0.25">
      <c r="A21" t="s">
        <v>147</v>
      </c>
      <c r="B21">
        <v>5</v>
      </c>
      <c r="C21">
        <v>5</v>
      </c>
      <c r="E21">
        <f t="shared" si="0"/>
        <v>0</v>
      </c>
    </row>
    <row r="22" spans="1:5" x14ac:dyDescent="0.25">
      <c r="A22" t="s">
        <v>155</v>
      </c>
      <c r="B22">
        <v>7</v>
      </c>
      <c r="C22">
        <v>11</v>
      </c>
      <c r="E22">
        <f t="shared" si="0"/>
        <v>4</v>
      </c>
    </row>
    <row r="23" spans="1:5" x14ac:dyDescent="0.25">
      <c r="A23" t="s">
        <v>158</v>
      </c>
      <c r="B23">
        <v>7</v>
      </c>
      <c r="C23">
        <v>4</v>
      </c>
      <c r="E23">
        <f t="shared" si="0"/>
        <v>-3</v>
      </c>
    </row>
    <row r="24" spans="1:5" x14ac:dyDescent="0.25">
      <c r="A24" t="s">
        <v>162</v>
      </c>
      <c r="B24">
        <v>4</v>
      </c>
      <c r="C24">
        <v>7</v>
      </c>
      <c r="E24">
        <f t="shared" si="0"/>
        <v>3</v>
      </c>
    </row>
    <row r="25" spans="1:5" x14ac:dyDescent="0.25">
      <c r="A25" t="s">
        <v>160</v>
      </c>
      <c r="B25">
        <v>3</v>
      </c>
      <c r="C25">
        <v>3</v>
      </c>
      <c r="E25">
        <f t="shared" si="0"/>
        <v>0</v>
      </c>
    </row>
    <row r="26" spans="1:5" x14ac:dyDescent="0.25">
      <c r="A26" t="s">
        <v>173</v>
      </c>
      <c r="B26">
        <v>3</v>
      </c>
      <c r="C26">
        <v>4</v>
      </c>
      <c r="E26">
        <f t="shared" si="0"/>
        <v>1</v>
      </c>
    </row>
    <row r="27" spans="1:5" x14ac:dyDescent="0.25">
      <c r="A27" t="s">
        <v>174</v>
      </c>
      <c r="B27">
        <v>4</v>
      </c>
      <c r="C27">
        <v>4</v>
      </c>
      <c r="E27">
        <f t="shared" si="0"/>
        <v>0</v>
      </c>
    </row>
    <row r="28" spans="1:5" x14ac:dyDescent="0.25">
      <c r="A28" t="s">
        <v>175</v>
      </c>
      <c r="B28">
        <v>9</v>
      </c>
      <c r="C28">
        <v>8</v>
      </c>
      <c r="E28">
        <f t="shared" si="0"/>
        <v>-1</v>
      </c>
    </row>
    <row r="29" spans="1:5" x14ac:dyDescent="0.25">
      <c r="A29" t="s">
        <v>187</v>
      </c>
      <c r="B29">
        <v>6</v>
      </c>
      <c r="C29">
        <v>5</v>
      </c>
      <c r="E29">
        <f t="shared" si="0"/>
        <v>-1</v>
      </c>
    </row>
    <row r="30" spans="1:5" x14ac:dyDescent="0.25">
      <c r="A30" t="s">
        <v>186</v>
      </c>
      <c r="B30">
        <v>5</v>
      </c>
      <c r="C30">
        <v>7</v>
      </c>
      <c r="E30">
        <f t="shared" si="0"/>
        <v>2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5</v>
      </c>
      <c r="C33">
        <v>5</v>
      </c>
      <c r="E33">
        <f t="shared" si="0"/>
        <v>0</v>
      </c>
    </row>
    <row r="34" spans="1:5" x14ac:dyDescent="0.25">
      <c r="A34" t="s">
        <v>13</v>
      </c>
      <c r="B34">
        <v>2</v>
      </c>
      <c r="C34">
        <v>2</v>
      </c>
      <c r="E34">
        <f t="shared" si="0"/>
        <v>0</v>
      </c>
    </row>
    <row r="35" spans="1:5" x14ac:dyDescent="0.25">
      <c r="A35" t="s">
        <v>68</v>
      </c>
      <c r="B35">
        <v>9</v>
      </c>
      <c r="C35">
        <v>10</v>
      </c>
      <c r="E35">
        <f t="shared" si="0"/>
        <v>1</v>
      </c>
    </row>
    <row r="36" spans="1:5" x14ac:dyDescent="0.25">
      <c r="A36" t="s">
        <v>69</v>
      </c>
      <c r="B36">
        <v>8</v>
      </c>
      <c r="C36">
        <v>9</v>
      </c>
      <c r="E36">
        <f t="shared" si="0"/>
        <v>1</v>
      </c>
    </row>
    <row r="37" spans="1:5" x14ac:dyDescent="0.25">
      <c r="A37" t="s">
        <v>70</v>
      </c>
      <c r="B37">
        <v>4</v>
      </c>
      <c r="C37">
        <v>5</v>
      </c>
      <c r="E37">
        <f t="shared" si="0"/>
        <v>1</v>
      </c>
    </row>
    <row r="38" spans="1:5" x14ac:dyDescent="0.25">
      <c r="A38" t="s">
        <v>74</v>
      </c>
      <c r="B38">
        <v>7</v>
      </c>
      <c r="C38">
        <v>5</v>
      </c>
      <c r="E38">
        <f t="shared" si="0"/>
        <v>-2</v>
      </c>
    </row>
    <row r="39" spans="1:5" x14ac:dyDescent="0.25">
      <c r="A39" t="s">
        <v>79</v>
      </c>
      <c r="B39">
        <v>12</v>
      </c>
      <c r="C39">
        <v>8</v>
      </c>
      <c r="E39">
        <f t="shared" si="0"/>
        <v>-4</v>
      </c>
    </row>
    <row r="40" spans="1:5" x14ac:dyDescent="0.25">
      <c r="A40" t="s">
        <v>80</v>
      </c>
      <c r="B40">
        <v>8</v>
      </c>
      <c r="C40">
        <v>11</v>
      </c>
      <c r="E40">
        <f t="shared" si="0"/>
        <v>3</v>
      </c>
    </row>
    <row r="41" spans="1:5" x14ac:dyDescent="0.25">
      <c r="A41" t="s">
        <v>86</v>
      </c>
      <c r="B41">
        <v>10</v>
      </c>
      <c r="C41">
        <v>7</v>
      </c>
      <c r="E41">
        <f t="shared" si="0"/>
        <v>-3</v>
      </c>
    </row>
    <row r="42" spans="1:5" x14ac:dyDescent="0.25">
      <c r="A42" t="s">
        <v>92</v>
      </c>
      <c r="B42">
        <v>9</v>
      </c>
      <c r="C42">
        <v>7</v>
      </c>
      <c r="E42">
        <f t="shared" si="0"/>
        <v>-2</v>
      </c>
    </row>
    <row r="43" spans="1:5" x14ac:dyDescent="0.25">
      <c r="A43" t="s">
        <v>93</v>
      </c>
      <c r="B43">
        <v>5</v>
      </c>
      <c r="C43">
        <v>5</v>
      </c>
      <c r="E43">
        <f t="shared" si="0"/>
        <v>0</v>
      </c>
    </row>
    <row r="44" spans="1:5" x14ac:dyDescent="0.25">
      <c r="A44" t="s">
        <v>110</v>
      </c>
      <c r="B44">
        <v>10</v>
      </c>
      <c r="C44">
        <v>11</v>
      </c>
      <c r="E44">
        <f t="shared" si="0"/>
        <v>1</v>
      </c>
    </row>
    <row r="45" spans="1:5" x14ac:dyDescent="0.25">
      <c r="A45" t="s">
        <v>120</v>
      </c>
      <c r="B45">
        <v>8</v>
      </c>
      <c r="C45">
        <v>9</v>
      </c>
      <c r="E45">
        <f t="shared" si="0"/>
        <v>1</v>
      </c>
    </row>
    <row r="46" spans="1:5" x14ac:dyDescent="0.25">
      <c r="A46" t="s">
        <v>125</v>
      </c>
      <c r="B46">
        <v>4</v>
      </c>
      <c r="C46">
        <v>0</v>
      </c>
      <c r="E46">
        <f t="shared" si="0"/>
        <v>-4</v>
      </c>
    </row>
    <row r="47" spans="1:5" x14ac:dyDescent="0.25">
      <c r="A47" t="s">
        <v>130</v>
      </c>
      <c r="B47">
        <v>7</v>
      </c>
      <c r="C47">
        <v>8</v>
      </c>
      <c r="E47">
        <f t="shared" si="0"/>
        <v>1</v>
      </c>
    </row>
    <row r="48" spans="1:5" x14ac:dyDescent="0.25">
      <c r="A48" t="s">
        <v>145</v>
      </c>
      <c r="B48">
        <v>12</v>
      </c>
      <c r="C48">
        <v>12</v>
      </c>
      <c r="E48">
        <f t="shared" si="0"/>
        <v>0</v>
      </c>
    </row>
    <row r="49" spans="1:5" x14ac:dyDescent="0.25">
      <c r="A49" t="s">
        <v>144</v>
      </c>
      <c r="B49">
        <v>14</v>
      </c>
      <c r="C49">
        <v>13</v>
      </c>
      <c r="E49">
        <f t="shared" si="0"/>
        <v>-1</v>
      </c>
    </row>
    <row r="50" spans="1:5" x14ac:dyDescent="0.25">
      <c r="A50" t="s">
        <v>132</v>
      </c>
      <c r="B50">
        <v>11</v>
      </c>
      <c r="C50">
        <v>12</v>
      </c>
      <c r="E50">
        <f t="shared" si="0"/>
        <v>1</v>
      </c>
    </row>
    <row r="51" spans="1:5" x14ac:dyDescent="0.25">
      <c r="A51" t="s">
        <v>146</v>
      </c>
      <c r="B51">
        <v>3</v>
      </c>
      <c r="C51">
        <v>3</v>
      </c>
      <c r="E51">
        <f t="shared" si="0"/>
        <v>0</v>
      </c>
    </row>
    <row r="52" spans="1:5" x14ac:dyDescent="0.25">
      <c r="A52" t="s">
        <v>147</v>
      </c>
      <c r="B52">
        <v>6</v>
      </c>
      <c r="C52">
        <v>6</v>
      </c>
      <c r="E52">
        <f t="shared" si="0"/>
        <v>0</v>
      </c>
    </row>
    <row r="53" spans="1:5" x14ac:dyDescent="0.25">
      <c r="A53" t="s">
        <v>155</v>
      </c>
      <c r="B53">
        <v>9</v>
      </c>
      <c r="C53">
        <v>7</v>
      </c>
      <c r="E53">
        <f t="shared" si="0"/>
        <v>-2</v>
      </c>
    </row>
    <row r="54" spans="1:5" x14ac:dyDescent="0.25">
      <c r="A54" t="s">
        <v>158</v>
      </c>
      <c r="B54">
        <v>5</v>
      </c>
      <c r="C54">
        <v>6</v>
      </c>
      <c r="E54">
        <f t="shared" si="0"/>
        <v>1</v>
      </c>
    </row>
    <row r="55" spans="1:5" x14ac:dyDescent="0.25">
      <c r="A55" t="s">
        <v>162</v>
      </c>
      <c r="B55">
        <v>5</v>
      </c>
      <c r="C55">
        <v>6</v>
      </c>
      <c r="E55">
        <f t="shared" si="0"/>
        <v>1</v>
      </c>
    </row>
    <row r="56" spans="1:5" x14ac:dyDescent="0.25">
      <c r="A56" t="s">
        <v>160</v>
      </c>
      <c r="B56">
        <v>2</v>
      </c>
      <c r="C56">
        <v>2</v>
      </c>
      <c r="E56">
        <f t="shared" si="0"/>
        <v>0</v>
      </c>
    </row>
    <row r="57" spans="1:5" x14ac:dyDescent="0.25">
      <c r="A57" t="s">
        <v>173</v>
      </c>
      <c r="B57">
        <v>4</v>
      </c>
      <c r="C57">
        <v>3</v>
      </c>
      <c r="E57">
        <f t="shared" si="0"/>
        <v>-1</v>
      </c>
    </row>
    <row r="58" spans="1:5" x14ac:dyDescent="0.25">
      <c r="A58" t="s">
        <v>174</v>
      </c>
      <c r="B58">
        <v>4</v>
      </c>
      <c r="C58">
        <v>4</v>
      </c>
      <c r="E58">
        <f t="shared" si="0"/>
        <v>0</v>
      </c>
    </row>
    <row r="59" spans="1:5" x14ac:dyDescent="0.25">
      <c r="A59" t="s">
        <v>175</v>
      </c>
      <c r="B59">
        <v>8</v>
      </c>
      <c r="C59">
        <v>8</v>
      </c>
      <c r="E59">
        <f t="shared" si="0"/>
        <v>0</v>
      </c>
    </row>
    <row r="60" spans="1:5" x14ac:dyDescent="0.25">
      <c r="A60" t="s">
        <v>187</v>
      </c>
      <c r="B60">
        <v>5</v>
      </c>
      <c r="C60">
        <v>4</v>
      </c>
      <c r="E60">
        <f t="shared" si="0"/>
        <v>-1</v>
      </c>
    </row>
    <row r="61" spans="1:5" x14ac:dyDescent="0.25">
      <c r="A61" t="s">
        <v>186</v>
      </c>
      <c r="B61">
        <v>5</v>
      </c>
      <c r="C61">
        <v>7</v>
      </c>
      <c r="E61">
        <f t="shared" si="0"/>
        <v>2</v>
      </c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66"/>
  <sheetViews>
    <sheetView zoomScale="55" zoomScaleNormal="55" workbookViewId="0">
      <selection activeCell="K64" sqref="K64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5.07</v>
      </c>
      <c r="C2">
        <v>5.18</v>
      </c>
      <c r="E2">
        <f>C2-B2</f>
        <v>0.10999999999999943</v>
      </c>
    </row>
    <row r="3" spans="1:5" x14ac:dyDescent="0.25">
      <c r="A3" t="s">
        <v>13</v>
      </c>
      <c r="B3">
        <v>4.9800000000000004</v>
      </c>
      <c r="C3">
        <v>4.95</v>
      </c>
      <c r="E3">
        <f t="shared" ref="E3:E61" si="0">C3-B3</f>
        <v>-3.0000000000000249E-2</v>
      </c>
    </row>
    <row r="4" spans="1:5" x14ac:dyDescent="0.25">
      <c r="A4" t="s">
        <v>68</v>
      </c>
      <c r="B4">
        <v>5.62</v>
      </c>
      <c r="C4">
        <v>5.3</v>
      </c>
      <c r="E4">
        <f t="shared" si="0"/>
        <v>-0.32000000000000028</v>
      </c>
    </row>
    <row r="5" spans="1:5" x14ac:dyDescent="0.25">
      <c r="A5" t="s">
        <v>69</v>
      </c>
      <c r="B5">
        <v>5.93</v>
      </c>
      <c r="C5">
        <v>6.12</v>
      </c>
      <c r="E5">
        <f t="shared" si="0"/>
        <v>0.19000000000000039</v>
      </c>
    </row>
    <row r="6" spans="1:5" x14ac:dyDescent="0.25">
      <c r="A6" t="s">
        <v>70</v>
      </c>
      <c r="B6">
        <v>5.17</v>
      </c>
      <c r="C6">
        <v>5.12</v>
      </c>
      <c r="E6">
        <f t="shared" si="0"/>
        <v>-4.9999999999999822E-2</v>
      </c>
    </row>
    <row r="7" spans="1:5" x14ac:dyDescent="0.25">
      <c r="A7" t="s">
        <v>74</v>
      </c>
      <c r="B7">
        <v>4.99</v>
      </c>
      <c r="C7">
        <v>4.9800000000000004</v>
      </c>
      <c r="E7">
        <f t="shared" si="0"/>
        <v>-9.9999999999997868E-3</v>
      </c>
    </row>
    <row r="8" spans="1:5" x14ac:dyDescent="0.25">
      <c r="A8" t="s">
        <v>79</v>
      </c>
      <c r="B8" s="5"/>
      <c r="C8" s="5"/>
    </row>
    <row r="9" spans="1:5" x14ac:dyDescent="0.25">
      <c r="A9" t="s">
        <v>80</v>
      </c>
      <c r="B9">
        <v>5.97</v>
      </c>
      <c r="C9">
        <v>6.16</v>
      </c>
      <c r="E9">
        <f t="shared" si="0"/>
        <v>0.19000000000000039</v>
      </c>
    </row>
    <row r="10" spans="1:5" x14ac:dyDescent="0.25">
      <c r="A10" t="s">
        <v>86</v>
      </c>
      <c r="B10">
        <v>5.81</v>
      </c>
      <c r="C10">
        <v>5.59</v>
      </c>
      <c r="E10">
        <f t="shared" si="0"/>
        <v>-0.21999999999999975</v>
      </c>
    </row>
    <row r="11" spans="1:5" x14ac:dyDescent="0.25">
      <c r="A11" t="s">
        <v>92</v>
      </c>
      <c r="B11" s="5"/>
      <c r="C11" s="5"/>
    </row>
    <row r="12" spans="1:5" x14ac:dyDescent="0.25">
      <c r="A12" t="s">
        <v>93</v>
      </c>
      <c r="B12">
        <v>5.36</v>
      </c>
      <c r="C12">
        <v>5.35</v>
      </c>
      <c r="E12">
        <f t="shared" si="0"/>
        <v>-1.0000000000000675E-2</v>
      </c>
    </row>
    <row r="13" spans="1:5" x14ac:dyDescent="0.25">
      <c r="A13" t="s">
        <v>110</v>
      </c>
      <c r="B13">
        <v>5.58</v>
      </c>
      <c r="C13">
        <v>5.97</v>
      </c>
      <c r="E13">
        <f t="shared" si="0"/>
        <v>0.38999999999999968</v>
      </c>
    </row>
    <row r="14" spans="1:5" x14ac:dyDescent="0.25">
      <c r="A14" t="s">
        <v>120</v>
      </c>
      <c r="B14">
        <v>5.25</v>
      </c>
      <c r="C14">
        <v>4.9000000000000004</v>
      </c>
      <c r="E14">
        <f t="shared" si="0"/>
        <v>-0.34999999999999964</v>
      </c>
    </row>
    <row r="15" spans="1:5" x14ac:dyDescent="0.25">
      <c r="A15" t="s">
        <v>125</v>
      </c>
      <c r="B15" s="5"/>
      <c r="C15" s="5"/>
    </row>
    <row r="16" spans="1:5" x14ac:dyDescent="0.25">
      <c r="A16" t="s">
        <v>130</v>
      </c>
      <c r="B16">
        <v>5.0999999999999996</v>
      </c>
      <c r="C16">
        <v>5.5</v>
      </c>
      <c r="E16">
        <f t="shared" si="0"/>
        <v>0.40000000000000036</v>
      </c>
    </row>
    <row r="17" spans="1:5" x14ac:dyDescent="0.25">
      <c r="A17" t="s">
        <v>145</v>
      </c>
      <c r="B17">
        <v>5.56</v>
      </c>
      <c r="C17">
        <v>4.9800000000000004</v>
      </c>
      <c r="E17">
        <f t="shared" si="0"/>
        <v>-0.57999999999999918</v>
      </c>
    </row>
    <row r="18" spans="1:5" x14ac:dyDescent="0.25">
      <c r="A18" t="s">
        <v>144</v>
      </c>
      <c r="B18" s="5"/>
      <c r="C18" s="5"/>
    </row>
    <row r="19" spans="1:5" x14ac:dyDescent="0.25">
      <c r="A19" t="s">
        <v>132</v>
      </c>
      <c r="B19">
        <v>5.82</v>
      </c>
      <c r="C19">
        <v>5.96</v>
      </c>
      <c r="E19">
        <f t="shared" si="0"/>
        <v>0.13999999999999968</v>
      </c>
    </row>
    <row r="20" spans="1:5" x14ac:dyDescent="0.25">
      <c r="A20" t="s">
        <v>146</v>
      </c>
      <c r="B20">
        <v>5.15</v>
      </c>
      <c r="C20">
        <v>5.0999999999999996</v>
      </c>
      <c r="E20">
        <f t="shared" si="0"/>
        <v>-5.0000000000000711E-2</v>
      </c>
    </row>
    <row r="21" spans="1:5" x14ac:dyDescent="0.25">
      <c r="A21" t="s">
        <v>147</v>
      </c>
      <c r="B21">
        <v>5.48</v>
      </c>
      <c r="C21">
        <v>5.43</v>
      </c>
      <c r="E21">
        <f t="shared" si="0"/>
        <v>-5.0000000000000711E-2</v>
      </c>
    </row>
    <row r="22" spans="1:5" x14ac:dyDescent="0.25">
      <c r="A22" t="s">
        <v>155</v>
      </c>
      <c r="B22">
        <v>5.39</v>
      </c>
      <c r="C22">
        <v>5.83</v>
      </c>
      <c r="E22">
        <f t="shared" si="0"/>
        <v>0.44000000000000039</v>
      </c>
    </row>
    <row r="23" spans="1:5" x14ac:dyDescent="0.25">
      <c r="A23" t="s">
        <v>158</v>
      </c>
      <c r="B23">
        <v>4.87</v>
      </c>
      <c r="C23">
        <v>5.1100000000000003</v>
      </c>
      <c r="E23">
        <f t="shared" si="0"/>
        <v>0.24000000000000021</v>
      </c>
    </row>
    <row r="24" spans="1:5" x14ac:dyDescent="0.25">
      <c r="A24" t="s">
        <v>162</v>
      </c>
      <c r="B24" s="5"/>
      <c r="C24" s="5"/>
    </row>
    <row r="25" spans="1:5" x14ac:dyDescent="0.25">
      <c r="A25" t="s">
        <v>160</v>
      </c>
      <c r="B25">
        <v>5.07</v>
      </c>
      <c r="C25">
        <v>5.17</v>
      </c>
      <c r="E25">
        <f t="shared" si="0"/>
        <v>9.9999999999999645E-2</v>
      </c>
    </row>
    <row r="26" spans="1:5" x14ac:dyDescent="0.25">
      <c r="A26" t="s">
        <v>173</v>
      </c>
      <c r="B26">
        <v>6.38</v>
      </c>
      <c r="C26">
        <v>5.92</v>
      </c>
      <c r="E26">
        <f t="shared" si="0"/>
        <v>-0.45999999999999996</v>
      </c>
    </row>
    <row r="27" spans="1:5" x14ac:dyDescent="0.25">
      <c r="A27" t="s">
        <v>174</v>
      </c>
      <c r="B27">
        <v>5.69</v>
      </c>
      <c r="C27">
        <v>5.65</v>
      </c>
      <c r="E27">
        <f t="shared" si="0"/>
        <v>-4.0000000000000036E-2</v>
      </c>
    </row>
    <row r="28" spans="1:5" x14ac:dyDescent="0.25">
      <c r="A28" t="s">
        <v>175</v>
      </c>
      <c r="B28">
        <v>4.8600000000000003</v>
      </c>
      <c r="C28">
        <v>5.3</v>
      </c>
      <c r="E28">
        <f t="shared" si="0"/>
        <v>0.4399999999999995</v>
      </c>
    </row>
    <row r="29" spans="1:5" x14ac:dyDescent="0.25">
      <c r="A29" t="s">
        <v>187</v>
      </c>
      <c r="B29">
        <v>5.25</v>
      </c>
      <c r="C29">
        <v>5.41</v>
      </c>
      <c r="E29">
        <f t="shared" si="0"/>
        <v>0.16000000000000014</v>
      </c>
    </row>
    <row r="30" spans="1:5" x14ac:dyDescent="0.25">
      <c r="A30" t="s">
        <v>186</v>
      </c>
      <c r="B30">
        <v>5.99</v>
      </c>
      <c r="C30">
        <v>5.53</v>
      </c>
      <c r="E30">
        <f t="shared" si="0"/>
        <v>-0.45999999999999996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5.61</v>
      </c>
      <c r="C33">
        <v>5.56</v>
      </c>
      <c r="E33">
        <f t="shared" si="0"/>
        <v>-5.0000000000000711E-2</v>
      </c>
    </row>
    <row r="34" spans="1:5" x14ac:dyDescent="0.25">
      <c r="A34" t="s">
        <v>13</v>
      </c>
      <c r="B34">
        <v>5.08</v>
      </c>
      <c r="C34">
        <v>5.1100000000000003</v>
      </c>
      <c r="E34">
        <f t="shared" si="0"/>
        <v>3.0000000000000249E-2</v>
      </c>
    </row>
    <row r="35" spans="1:5" x14ac:dyDescent="0.25">
      <c r="A35" t="s">
        <v>68</v>
      </c>
      <c r="B35">
        <v>5.4</v>
      </c>
      <c r="C35">
        <v>5.36</v>
      </c>
      <c r="E35">
        <f t="shared" si="0"/>
        <v>-4.0000000000000036E-2</v>
      </c>
    </row>
    <row r="36" spans="1:5" x14ac:dyDescent="0.25">
      <c r="A36" t="s">
        <v>69</v>
      </c>
      <c r="B36">
        <v>6.26</v>
      </c>
      <c r="C36">
        <v>6.2</v>
      </c>
      <c r="E36">
        <f t="shared" si="0"/>
        <v>-5.9999999999999609E-2</v>
      </c>
    </row>
    <row r="37" spans="1:5" x14ac:dyDescent="0.25">
      <c r="A37" t="s">
        <v>70</v>
      </c>
      <c r="B37">
        <v>5.46</v>
      </c>
      <c r="C37">
        <v>5.49</v>
      </c>
      <c r="E37">
        <f t="shared" si="0"/>
        <v>3.0000000000000249E-2</v>
      </c>
    </row>
    <row r="38" spans="1:5" x14ac:dyDescent="0.25">
      <c r="A38" t="s">
        <v>74</v>
      </c>
      <c r="B38">
        <v>4.9000000000000004</v>
      </c>
      <c r="C38">
        <v>4.92</v>
      </c>
      <c r="E38">
        <f t="shared" si="0"/>
        <v>1.9999999999999574E-2</v>
      </c>
    </row>
    <row r="39" spans="1:5" x14ac:dyDescent="0.25">
      <c r="A39" t="s">
        <v>79</v>
      </c>
      <c r="B39" s="5"/>
      <c r="C39" s="5"/>
    </row>
    <row r="40" spans="1:5" x14ac:dyDescent="0.25">
      <c r="A40" t="s">
        <v>80</v>
      </c>
      <c r="B40">
        <v>5.77</v>
      </c>
      <c r="C40">
        <v>6.3</v>
      </c>
      <c r="E40">
        <f t="shared" si="0"/>
        <v>0.53000000000000025</v>
      </c>
    </row>
    <row r="41" spans="1:5" x14ac:dyDescent="0.25">
      <c r="A41" t="s">
        <v>86</v>
      </c>
      <c r="B41">
        <v>5.62</v>
      </c>
      <c r="C41">
        <v>5.71</v>
      </c>
      <c r="E41">
        <f t="shared" si="0"/>
        <v>8.9999999999999858E-2</v>
      </c>
    </row>
    <row r="42" spans="1:5" x14ac:dyDescent="0.25">
      <c r="A42" t="s">
        <v>92</v>
      </c>
      <c r="B42" s="5">
        <v>5.59</v>
      </c>
      <c r="C42" s="5"/>
    </row>
    <row r="43" spans="1:5" x14ac:dyDescent="0.25">
      <c r="A43" t="s">
        <v>93</v>
      </c>
      <c r="B43">
        <v>5.22</v>
      </c>
      <c r="C43">
        <v>5.45</v>
      </c>
      <c r="E43">
        <f t="shared" si="0"/>
        <v>0.23000000000000043</v>
      </c>
    </row>
    <row r="44" spans="1:5" x14ac:dyDescent="0.25">
      <c r="A44" t="s">
        <v>110</v>
      </c>
      <c r="B44">
        <v>5.66</v>
      </c>
      <c r="C44">
        <v>5.51</v>
      </c>
      <c r="E44">
        <f t="shared" si="0"/>
        <v>-0.15000000000000036</v>
      </c>
    </row>
    <row r="45" spans="1:5" x14ac:dyDescent="0.25">
      <c r="A45" t="s">
        <v>120</v>
      </c>
      <c r="B45">
        <v>5.08</v>
      </c>
      <c r="C45">
        <v>4.6500000000000004</v>
      </c>
      <c r="E45">
        <f t="shared" si="0"/>
        <v>-0.42999999999999972</v>
      </c>
    </row>
    <row r="46" spans="1:5" x14ac:dyDescent="0.25">
      <c r="A46" t="s">
        <v>125</v>
      </c>
      <c r="B46" s="5">
        <v>5.41</v>
      </c>
      <c r="C46" s="5"/>
    </row>
    <row r="47" spans="1:5" x14ac:dyDescent="0.25">
      <c r="A47" t="s">
        <v>130</v>
      </c>
      <c r="B47">
        <v>5.29</v>
      </c>
      <c r="C47">
        <v>5.44</v>
      </c>
      <c r="E47">
        <f t="shared" si="0"/>
        <v>0.15000000000000036</v>
      </c>
    </row>
    <row r="48" spans="1:5" x14ac:dyDescent="0.25">
      <c r="A48" t="s">
        <v>145</v>
      </c>
      <c r="B48">
        <v>5.27</v>
      </c>
      <c r="C48">
        <v>5.54</v>
      </c>
      <c r="E48">
        <f t="shared" si="0"/>
        <v>0.27000000000000046</v>
      </c>
    </row>
    <row r="49" spans="1:5" x14ac:dyDescent="0.25">
      <c r="A49" t="s">
        <v>144</v>
      </c>
      <c r="B49" s="5">
        <v>5.0999999999999996</v>
      </c>
      <c r="C49" s="5">
        <v>5.01</v>
      </c>
    </row>
    <row r="50" spans="1:5" x14ac:dyDescent="0.25">
      <c r="A50" t="s">
        <v>132</v>
      </c>
      <c r="B50">
        <v>5.68</v>
      </c>
      <c r="C50">
        <v>5.65</v>
      </c>
      <c r="E50">
        <f t="shared" si="0"/>
        <v>-2.9999999999999361E-2</v>
      </c>
    </row>
    <row r="51" spans="1:5" x14ac:dyDescent="0.25">
      <c r="A51" t="s">
        <v>146</v>
      </c>
      <c r="B51">
        <v>4.74</v>
      </c>
      <c r="C51">
        <v>5.63</v>
      </c>
      <c r="E51">
        <f t="shared" si="0"/>
        <v>0.88999999999999968</v>
      </c>
    </row>
    <row r="52" spans="1:5" x14ac:dyDescent="0.25">
      <c r="A52" t="s">
        <v>147</v>
      </c>
      <c r="B52">
        <v>5.29</v>
      </c>
      <c r="C52">
        <v>5.27</v>
      </c>
      <c r="E52">
        <f t="shared" si="0"/>
        <v>-2.0000000000000462E-2</v>
      </c>
    </row>
    <row r="53" spans="1:5" x14ac:dyDescent="0.25">
      <c r="A53" t="s">
        <v>155</v>
      </c>
      <c r="B53">
        <v>5.41</v>
      </c>
      <c r="C53">
        <v>5.46</v>
      </c>
      <c r="E53">
        <f t="shared" si="0"/>
        <v>4.9999999999999822E-2</v>
      </c>
    </row>
    <row r="54" spans="1:5" x14ac:dyDescent="0.25">
      <c r="A54" t="s">
        <v>158</v>
      </c>
      <c r="B54">
        <v>5.23</v>
      </c>
      <c r="C54">
        <v>5.16</v>
      </c>
      <c r="E54">
        <f t="shared" si="0"/>
        <v>-7.0000000000000284E-2</v>
      </c>
    </row>
    <row r="55" spans="1:5" x14ac:dyDescent="0.25">
      <c r="A55" t="s">
        <v>162</v>
      </c>
      <c r="B55" s="5"/>
      <c r="C55" s="5">
        <v>5.89</v>
      </c>
    </row>
    <row r="56" spans="1:5" x14ac:dyDescent="0.25">
      <c r="A56" t="s">
        <v>160</v>
      </c>
      <c r="B56">
        <v>5.1100000000000003</v>
      </c>
      <c r="C56">
        <v>4.92</v>
      </c>
      <c r="E56">
        <f t="shared" si="0"/>
        <v>-0.19000000000000039</v>
      </c>
    </row>
    <row r="57" spans="1:5" x14ac:dyDescent="0.25">
      <c r="A57" t="s">
        <v>173</v>
      </c>
      <c r="B57">
        <v>6.48</v>
      </c>
      <c r="C57">
        <v>5.91</v>
      </c>
      <c r="E57">
        <f t="shared" si="0"/>
        <v>-0.57000000000000028</v>
      </c>
    </row>
    <row r="58" spans="1:5" x14ac:dyDescent="0.25">
      <c r="A58" t="s">
        <v>174</v>
      </c>
      <c r="B58">
        <v>5.85</v>
      </c>
      <c r="C58">
        <v>5.66</v>
      </c>
      <c r="E58">
        <f t="shared" si="0"/>
        <v>-0.1899999999999995</v>
      </c>
    </row>
    <row r="59" spans="1:5" x14ac:dyDescent="0.25">
      <c r="A59" t="s">
        <v>175</v>
      </c>
      <c r="B59">
        <v>5.32</v>
      </c>
      <c r="C59">
        <v>5.69</v>
      </c>
      <c r="E59">
        <f t="shared" si="0"/>
        <v>0.37000000000000011</v>
      </c>
    </row>
    <row r="60" spans="1:5" x14ac:dyDescent="0.25">
      <c r="A60" t="s">
        <v>187</v>
      </c>
      <c r="B60">
        <v>5.4</v>
      </c>
      <c r="C60">
        <v>5.27</v>
      </c>
      <c r="E60">
        <f t="shared" si="0"/>
        <v>-0.13000000000000078</v>
      </c>
    </row>
    <row r="61" spans="1:5" x14ac:dyDescent="0.25">
      <c r="A61" t="s">
        <v>186</v>
      </c>
      <c r="B61">
        <v>5.34</v>
      </c>
      <c r="C61">
        <v>5.91</v>
      </c>
      <c r="E61">
        <f t="shared" si="0"/>
        <v>0.57000000000000028</v>
      </c>
    </row>
    <row r="63" spans="1:5" x14ac:dyDescent="0.25">
      <c r="D63" s="25"/>
      <c r="E63" s="37"/>
    </row>
    <row r="65" spans="4:6" x14ac:dyDescent="0.25">
      <c r="D65" s="25"/>
      <c r="E65" s="26"/>
      <c r="F65" s="26"/>
    </row>
    <row r="66" spans="4:6" x14ac:dyDescent="0.25">
      <c r="D66" s="25"/>
      <c r="E66" s="26"/>
      <c r="F66" s="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66"/>
  <sheetViews>
    <sheetView zoomScale="55" zoomScaleNormal="55" workbookViewId="0">
      <selection activeCell="L45" sqref="L45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3.41</v>
      </c>
      <c r="C2">
        <v>3.45</v>
      </c>
      <c r="E2">
        <f>C2-B2</f>
        <v>4.0000000000000036E-2</v>
      </c>
    </row>
    <row r="3" spans="1:5" x14ac:dyDescent="0.25">
      <c r="A3" t="s">
        <v>13</v>
      </c>
      <c r="B3">
        <v>3.29</v>
      </c>
      <c r="C3">
        <v>3.05</v>
      </c>
      <c r="E3">
        <f t="shared" ref="E3:E61" si="0">C3-B3</f>
        <v>-0.24000000000000021</v>
      </c>
    </row>
    <row r="4" spans="1:5" x14ac:dyDescent="0.25">
      <c r="A4" t="s">
        <v>68</v>
      </c>
      <c r="B4">
        <v>4.62</v>
      </c>
      <c r="C4">
        <v>3.99</v>
      </c>
      <c r="E4">
        <f t="shared" si="0"/>
        <v>-0.62999999999999989</v>
      </c>
    </row>
    <row r="5" spans="1:5" x14ac:dyDescent="0.25">
      <c r="A5" t="s">
        <v>69</v>
      </c>
      <c r="B5">
        <v>5.5</v>
      </c>
      <c r="C5">
        <v>5.12</v>
      </c>
      <c r="E5">
        <f t="shared" si="0"/>
        <v>-0.37999999999999989</v>
      </c>
    </row>
    <row r="6" spans="1:5" x14ac:dyDescent="0.25">
      <c r="A6" t="s">
        <v>70</v>
      </c>
      <c r="B6">
        <v>5.7</v>
      </c>
      <c r="C6">
        <v>5.52</v>
      </c>
      <c r="E6">
        <f t="shared" si="0"/>
        <v>-0.1800000000000006</v>
      </c>
    </row>
    <row r="7" spans="1:5" x14ac:dyDescent="0.25">
      <c r="A7" t="s">
        <v>74</v>
      </c>
      <c r="B7">
        <v>4.66</v>
      </c>
      <c r="C7">
        <v>4.67</v>
      </c>
      <c r="E7">
        <f t="shared" si="0"/>
        <v>9.9999999999997868E-3</v>
      </c>
    </row>
    <row r="8" spans="1:5" x14ac:dyDescent="0.25">
      <c r="A8" t="s">
        <v>79</v>
      </c>
      <c r="B8" s="5"/>
      <c r="C8" s="5"/>
    </row>
    <row r="9" spans="1:5" x14ac:dyDescent="0.25">
      <c r="A9" t="s">
        <v>80</v>
      </c>
      <c r="B9">
        <v>3.96</v>
      </c>
      <c r="C9">
        <v>4.09</v>
      </c>
      <c r="E9">
        <f t="shared" si="0"/>
        <v>0.12999999999999989</v>
      </c>
    </row>
    <row r="10" spans="1:5" x14ac:dyDescent="0.25">
      <c r="A10" t="s">
        <v>86</v>
      </c>
      <c r="B10">
        <v>4.24</v>
      </c>
      <c r="C10">
        <v>4.34</v>
      </c>
      <c r="E10">
        <f t="shared" si="0"/>
        <v>9.9999999999999645E-2</v>
      </c>
    </row>
    <row r="11" spans="1:5" x14ac:dyDescent="0.25">
      <c r="A11" t="s">
        <v>92</v>
      </c>
      <c r="B11" s="5"/>
      <c r="C11" s="5"/>
    </row>
    <row r="12" spans="1:5" x14ac:dyDescent="0.25">
      <c r="A12" t="s">
        <v>93</v>
      </c>
      <c r="B12">
        <v>4.32</v>
      </c>
      <c r="C12">
        <v>4.51</v>
      </c>
      <c r="E12">
        <f t="shared" si="0"/>
        <v>0.1899999999999995</v>
      </c>
    </row>
    <row r="13" spans="1:5" x14ac:dyDescent="0.25">
      <c r="A13" t="s">
        <v>110</v>
      </c>
      <c r="B13">
        <v>5.72</v>
      </c>
      <c r="C13">
        <v>5.07</v>
      </c>
      <c r="E13">
        <f t="shared" si="0"/>
        <v>-0.64999999999999947</v>
      </c>
    </row>
    <row r="14" spans="1:5" x14ac:dyDescent="0.25">
      <c r="A14" t="s">
        <v>120</v>
      </c>
      <c r="B14">
        <v>3.93</v>
      </c>
      <c r="C14">
        <v>4.05</v>
      </c>
      <c r="E14">
        <f t="shared" si="0"/>
        <v>0.11999999999999966</v>
      </c>
    </row>
    <row r="15" spans="1:5" x14ac:dyDescent="0.25">
      <c r="A15" t="s">
        <v>125</v>
      </c>
      <c r="B15" s="5"/>
      <c r="C15" s="5"/>
    </row>
    <row r="16" spans="1:5" x14ac:dyDescent="0.25">
      <c r="A16" t="s">
        <v>130</v>
      </c>
      <c r="B16">
        <v>3.72</v>
      </c>
      <c r="C16">
        <v>3.95</v>
      </c>
      <c r="E16">
        <f t="shared" si="0"/>
        <v>0.22999999999999998</v>
      </c>
    </row>
    <row r="17" spans="1:5" x14ac:dyDescent="0.25">
      <c r="A17" t="s">
        <v>145</v>
      </c>
      <c r="B17">
        <v>5.0599999999999996</v>
      </c>
      <c r="C17">
        <v>4.04</v>
      </c>
      <c r="E17">
        <f t="shared" si="0"/>
        <v>-1.0199999999999996</v>
      </c>
    </row>
    <row r="18" spans="1:5" x14ac:dyDescent="0.25">
      <c r="A18" t="s">
        <v>144</v>
      </c>
      <c r="B18" s="5"/>
      <c r="C18" s="5"/>
    </row>
    <row r="19" spans="1:5" x14ac:dyDescent="0.25">
      <c r="A19" t="s">
        <v>132</v>
      </c>
      <c r="B19">
        <v>3.69</v>
      </c>
      <c r="C19">
        <v>3.81</v>
      </c>
      <c r="E19">
        <f t="shared" si="0"/>
        <v>0.12000000000000011</v>
      </c>
    </row>
    <row r="20" spans="1:5" x14ac:dyDescent="0.25">
      <c r="A20" t="s">
        <v>146</v>
      </c>
      <c r="B20">
        <v>3.13</v>
      </c>
      <c r="C20">
        <v>3.1</v>
      </c>
      <c r="E20">
        <f t="shared" si="0"/>
        <v>-2.9999999999999805E-2</v>
      </c>
    </row>
    <row r="21" spans="1:5" x14ac:dyDescent="0.25">
      <c r="A21" t="s">
        <v>147</v>
      </c>
      <c r="B21">
        <v>3.91</v>
      </c>
      <c r="C21">
        <v>3.84</v>
      </c>
      <c r="E21">
        <f t="shared" si="0"/>
        <v>-7.0000000000000284E-2</v>
      </c>
    </row>
    <row r="22" spans="1:5" x14ac:dyDescent="0.25">
      <c r="A22" t="s">
        <v>155</v>
      </c>
      <c r="B22">
        <v>6.1</v>
      </c>
      <c r="C22">
        <v>4.71</v>
      </c>
      <c r="E22">
        <f t="shared" si="0"/>
        <v>-1.3899999999999997</v>
      </c>
    </row>
    <row r="23" spans="1:5" x14ac:dyDescent="0.25">
      <c r="A23" t="s">
        <v>158</v>
      </c>
      <c r="B23">
        <v>4.78</v>
      </c>
      <c r="C23">
        <v>4.82</v>
      </c>
      <c r="E23">
        <f t="shared" si="0"/>
        <v>4.0000000000000036E-2</v>
      </c>
    </row>
    <row r="24" spans="1:5" x14ac:dyDescent="0.25">
      <c r="A24" t="s">
        <v>162</v>
      </c>
      <c r="B24" s="5"/>
      <c r="C24" s="5"/>
    </row>
    <row r="25" spans="1:5" x14ac:dyDescent="0.25">
      <c r="A25" t="s">
        <v>160</v>
      </c>
      <c r="B25">
        <v>5.22</v>
      </c>
      <c r="C25">
        <v>4.79</v>
      </c>
      <c r="E25">
        <f t="shared" si="0"/>
        <v>-0.42999999999999972</v>
      </c>
    </row>
    <row r="26" spans="1:5" x14ac:dyDescent="0.25">
      <c r="A26" t="s">
        <v>173</v>
      </c>
      <c r="B26">
        <v>4.24</v>
      </c>
      <c r="C26">
        <v>4.68</v>
      </c>
      <c r="E26">
        <f t="shared" si="0"/>
        <v>0.4399999999999995</v>
      </c>
    </row>
    <row r="27" spans="1:5" x14ac:dyDescent="0.25">
      <c r="A27" t="s">
        <v>174</v>
      </c>
      <c r="B27">
        <v>4.07</v>
      </c>
      <c r="C27">
        <v>3.76</v>
      </c>
      <c r="E27">
        <f t="shared" si="0"/>
        <v>-0.3100000000000005</v>
      </c>
    </row>
    <row r="28" spans="1:5" x14ac:dyDescent="0.25">
      <c r="A28" t="s">
        <v>175</v>
      </c>
      <c r="B28">
        <v>3.73</v>
      </c>
      <c r="C28">
        <v>3.7</v>
      </c>
      <c r="E28">
        <f t="shared" si="0"/>
        <v>-2.9999999999999805E-2</v>
      </c>
    </row>
    <row r="29" spans="1:5" x14ac:dyDescent="0.25">
      <c r="A29" t="s">
        <v>187</v>
      </c>
      <c r="B29">
        <v>6.38</v>
      </c>
      <c r="C29">
        <v>5.55</v>
      </c>
      <c r="E29">
        <f t="shared" si="0"/>
        <v>-0.83000000000000007</v>
      </c>
    </row>
    <row r="30" spans="1:5" x14ac:dyDescent="0.25">
      <c r="A30" t="s">
        <v>186</v>
      </c>
      <c r="B30">
        <v>3.37</v>
      </c>
      <c r="C30">
        <v>3.63</v>
      </c>
      <c r="E30">
        <f t="shared" si="0"/>
        <v>0.25999999999999979</v>
      </c>
    </row>
    <row r="31" spans="1:5" x14ac:dyDescent="0.25">
      <c r="D31" s="25"/>
      <c r="E31" s="25"/>
    </row>
    <row r="32" spans="1:5" s="25" customFormat="1" x14ac:dyDescent="0.25">
      <c r="A32" s="25" t="s">
        <v>1</v>
      </c>
    </row>
    <row r="33" spans="1:5" x14ac:dyDescent="0.25">
      <c r="A33" t="s">
        <v>3</v>
      </c>
      <c r="B33">
        <v>3.61</v>
      </c>
      <c r="C33">
        <v>3.18</v>
      </c>
      <c r="E33">
        <f t="shared" si="0"/>
        <v>-0.42999999999999972</v>
      </c>
    </row>
    <row r="34" spans="1:5" x14ac:dyDescent="0.25">
      <c r="A34" t="s">
        <v>13</v>
      </c>
      <c r="B34">
        <v>3.11</v>
      </c>
      <c r="C34">
        <v>3.24</v>
      </c>
      <c r="E34">
        <f t="shared" si="0"/>
        <v>0.13000000000000034</v>
      </c>
    </row>
    <row r="35" spans="1:5" x14ac:dyDescent="0.25">
      <c r="A35" t="s">
        <v>68</v>
      </c>
      <c r="B35">
        <v>3.95</v>
      </c>
      <c r="C35">
        <v>5.21</v>
      </c>
      <c r="E35">
        <f t="shared" si="0"/>
        <v>1.2599999999999998</v>
      </c>
    </row>
    <row r="36" spans="1:5" x14ac:dyDescent="0.25">
      <c r="A36" t="s">
        <v>69</v>
      </c>
      <c r="B36">
        <v>5.26</v>
      </c>
      <c r="C36">
        <v>5.07</v>
      </c>
      <c r="E36">
        <f t="shared" si="0"/>
        <v>-0.1899999999999995</v>
      </c>
    </row>
    <row r="37" spans="1:5" x14ac:dyDescent="0.25">
      <c r="A37" t="s">
        <v>70</v>
      </c>
      <c r="B37">
        <v>5.61</v>
      </c>
      <c r="C37">
        <v>5.26</v>
      </c>
      <c r="E37">
        <f t="shared" si="0"/>
        <v>-0.35000000000000053</v>
      </c>
    </row>
    <row r="38" spans="1:5" x14ac:dyDescent="0.25">
      <c r="A38" t="s">
        <v>74</v>
      </c>
      <c r="B38">
        <v>4.93</v>
      </c>
      <c r="C38">
        <v>4.5599999999999996</v>
      </c>
      <c r="E38">
        <f t="shared" si="0"/>
        <v>-0.37000000000000011</v>
      </c>
    </row>
    <row r="39" spans="1:5" x14ac:dyDescent="0.25">
      <c r="A39" t="s">
        <v>79</v>
      </c>
      <c r="B39" s="5"/>
      <c r="C39" s="5"/>
    </row>
    <row r="40" spans="1:5" x14ac:dyDescent="0.25">
      <c r="A40" t="s">
        <v>80</v>
      </c>
      <c r="B40">
        <v>3.6</v>
      </c>
      <c r="C40">
        <v>4.01</v>
      </c>
      <c r="E40">
        <f t="shared" si="0"/>
        <v>0.4099999999999997</v>
      </c>
    </row>
    <row r="41" spans="1:5" x14ac:dyDescent="0.25">
      <c r="A41" t="s">
        <v>86</v>
      </c>
      <c r="B41">
        <v>4.07</v>
      </c>
      <c r="C41">
        <v>4.16</v>
      </c>
      <c r="E41">
        <f t="shared" si="0"/>
        <v>8.9999999999999858E-2</v>
      </c>
    </row>
    <row r="42" spans="1:5" x14ac:dyDescent="0.25">
      <c r="A42" t="s">
        <v>92</v>
      </c>
      <c r="B42" s="5">
        <v>5.55</v>
      </c>
      <c r="C42" s="5"/>
    </row>
    <row r="43" spans="1:5" x14ac:dyDescent="0.25">
      <c r="A43" t="s">
        <v>93</v>
      </c>
      <c r="B43">
        <v>4.93</v>
      </c>
      <c r="C43">
        <v>4.7699999999999996</v>
      </c>
      <c r="E43">
        <f t="shared" si="0"/>
        <v>-0.16000000000000014</v>
      </c>
    </row>
    <row r="44" spans="1:5" x14ac:dyDescent="0.25">
      <c r="A44" t="s">
        <v>110</v>
      </c>
      <c r="B44">
        <v>5.0599999999999996</v>
      </c>
      <c r="C44">
        <v>4.9800000000000004</v>
      </c>
      <c r="E44">
        <f t="shared" si="0"/>
        <v>-7.9999999999999183E-2</v>
      </c>
    </row>
    <row r="45" spans="1:5" x14ac:dyDescent="0.25">
      <c r="A45" t="s">
        <v>120</v>
      </c>
      <c r="B45">
        <v>2.46</v>
      </c>
      <c r="C45">
        <v>3.46</v>
      </c>
      <c r="E45">
        <f t="shared" si="0"/>
        <v>1</v>
      </c>
    </row>
    <row r="46" spans="1:5" x14ac:dyDescent="0.25">
      <c r="A46" t="s">
        <v>125</v>
      </c>
      <c r="B46" s="5">
        <v>3.65</v>
      </c>
      <c r="C46" s="5"/>
    </row>
    <row r="47" spans="1:5" x14ac:dyDescent="0.25">
      <c r="A47" t="s">
        <v>130</v>
      </c>
      <c r="B47">
        <v>3.81</v>
      </c>
      <c r="C47">
        <v>3.8</v>
      </c>
      <c r="E47">
        <f t="shared" si="0"/>
        <v>-1.0000000000000231E-2</v>
      </c>
    </row>
    <row r="48" spans="1:5" x14ac:dyDescent="0.25">
      <c r="A48" t="s">
        <v>145</v>
      </c>
      <c r="B48">
        <v>4.6100000000000003</v>
      </c>
      <c r="C48">
        <v>4.7699999999999996</v>
      </c>
      <c r="E48">
        <f t="shared" si="0"/>
        <v>0.15999999999999925</v>
      </c>
    </row>
    <row r="49" spans="1:5" x14ac:dyDescent="0.25">
      <c r="A49" t="s">
        <v>144</v>
      </c>
      <c r="B49" s="5">
        <v>4.0999999999999996</v>
      </c>
      <c r="C49" s="5">
        <v>3.68</v>
      </c>
    </row>
    <row r="50" spans="1:5" x14ac:dyDescent="0.25">
      <c r="A50" t="s">
        <v>132</v>
      </c>
      <c r="B50">
        <v>4</v>
      </c>
      <c r="C50">
        <v>3.76</v>
      </c>
      <c r="E50">
        <f t="shared" si="0"/>
        <v>-0.24000000000000021</v>
      </c>
    </row>
    <row r="51" spans="1:5" x14ac:dyDescent="0.25">
      <c r="A51" t="s">
        <v>146</v>
      </c>
      <c r="B51">
        <v>3.1</v>
      </c>
      <c r="C51">
        <v>3.35</v>
      </c>
      <c r="E51">
        <f t="shared" si="0"/>
        <v>0.25</v>
      </c>
    </row>
    <row r="52" spans="1:5" x14ac:dyDescent="0.25">
      <c r="A52" t="s">
        <v>147</v>
      </c>
      <c r="B52">
        <v>3.73</v>
      </c>
      <c r="C52">
        <v>3.75</v>
      </c>
      <c r="E52">
        <f t="shared" si="0"/>
        <v>2.0000000000000018E-2</v>
      </c>
    </row>
    <row r="53" spans="1:5" x14ac:dyDescent="0.25">
      <c r="A53" t="s">
        <v>155</v>
      </c>
      <c r="B53">
        <v>5.61</v>
      </c>
      <c r="C53">
        <v>5.6</v>
      </c>
      <c r="E53">
        <f t="shared" si="0"/>
        <v>-1.0000000000000675E-2</v>
      </c>
    </row>
    <row r="54" spans="1:5" x14ac:dyDescent="0.25">
      <c r="A54" t="s">
        <v>158</v>
      </c>
      <c r="B54">
        <v>4.83</v>
      </c>
      <c r="C54">
        <v>4.33</v>
      </c>
      <c r="E54">
        <f t="shared" si="0"/>
        <v>-0.5</v>
      </c>
    </row>
    <row r="55" spans="1:5" x14ac:dyDescent="0.25">
      <c r="A55" t="s">
        <v>162</v>
      </c>
      <c r="B55" s="5"/>
      <c r="C55" s="5">
        <v>4.91</v>
      </c>
    </row>
    <row r="56" spans="1:5" x14ac:dyDescent="0.25">
      <c r="A56" t="s">
        <v>160</v>
      </c>
      <c r="B56">
        <v>4.49</v>
      </c>
      <c r="C56">
        <v>4.68</v>
      </c>
      <c r="E56">
        <f t="shared" si="0"/>
        <v>0.1899999999999995</v>
      </c>
    </row>
    <row r="57" spans="1:5" x14ac:dyDescent="0.25">
      <c r="A57" t="s">
        <v>173</v>
      </c>
      <c r="B57">
        <v>4.38</v>
      </c>
      <c r="C57">
        <v>4.53</v>
      </c>
      <c r="E57">
        <f t="shared" si="0"/>
        <v>0.15000000000000036</v>
      </c>
    </row>
    <row r="58" spans="1:5" x14ac:dyDescent="0.25">
      <c r="A58" t="s">
        <v>174</v>
      </c>
      <c r="B58">
        <v>3.93</v>
      </c>
      <c r="C58">
        <v>4.07</v>
      </c>
      <c r="E58">
        <f t="shared" si="0"/>
        <v>0.14000000000000012</v>
      </c>
    </row>
    <row r="59" spans="1:5" x14ac:dyDescent="0.25">
      <c r="A59" t="s">
        <v>175</v>
      </c>
      <c r="B59">
        <v>3.73</v>
      </c>
      <c r="C59">
        <v>3.63</v>
      </c>
      <c r="E59">
        <f t="shared" si="0"/>
        <v>-0.10000000000000009</v>
      </c>
    </row>
    <row r="60" spans="1:5" x14ac:dyDescent="0.25">
      <c r="A60" t="s">
        <v>187</v>
      </c>
      <c r="B60">
        <v>5.78</v>
      </c>
      <c r="C60">
        <v>5.19</v>
      </c>
      <c r="E60">
        <f t="shared" si="0"/>
        <v>-0.58999999999999986</v>
      </c>
    </row>
    <row r="61" spans="1:5" x14ac:dyDescent="0.25">
      <c r="A61" t="s">
        <v>186</v>
      </c>
      <c r="B61">
        <v>3.87</v>
      </c>
      <c r="C61">
        <v>4.05</v>
      </c>
      <c r="E61">
        <f t="shared" si="0"/>
        <v>0.17999999999999972</v>
      </c>
    </row>
    <row r="62" spans="1:5" x14ac:dyDescent="0.25">
      <c r="D62" s="25"/>
      <c r="E62" s="25"/>
    </row>
    <row r="63" spans="1:5" x14ac:dyDescent="0.25">
      <c r="D63" s="25"/>
      <c r="E63" s="37"/>
    </row>
    <row r="65" spans="2:6" x14ac:dyDescent="0.25">
      <c r="B65" s="26"/>
      <c r="C65" s="26"/>
      <c r="D65" s="25"/>
      <c r="E65" s="26"/>
      <c r="F65" s="26"/>
    </row>
    <row r="66" spans="2:6" x14ac:dyDescent="0.25">
      <c r="B66" s="26"/>
      <c r="C66" s="26"/>
      <c r="D66" s="25"/>
      <c r="E66" s="26"/>
      <c r="F66" s="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66"/>
  <sheetViews>
    <sheetView zoomScale="55" zoomScaleNormal="55" workbookViewId="0">
      <selection activeCell="J39" sqref="J39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0.54</v>
      </c>
      <c r="C2">
        <v>0.53</v>
      </c>
      <c r="E2">
        <f>C2-B2</f>
        <v>-1.0000000000000009E-2</v>
      </c>
    </row>
    <row r="3" spans="1:5" x14ac:dyDescent="0.25">
      <c r="A3" t="s">
        <v>13</v>
      </c>
      <c r="B3">
        <v>0.47</v>
      </c>
      <c r="C3">
        <v>0.43</v>
      </c>
      <c r="E3">
        <f t="shared" ref="E3:E61" si="0">C3-B3</f>
        <v>-3.999999999999998E-2</v>
      </c>
    </row>
    <row r="4" spans="1:5" x14ac:dyDescent="0.25">
      <c r="A4" t="s">
        <v>68</v>
      </c>
      <c r="B4">
        <v>0.51</v>
      </c>
      <c r="C4">
        <v>0.49</v>
      </c>
      <c r="E4">
        <f t="shared" si="0"/>
        <v>-2.0000000000000018E-2</v>
      </c>
    </row>
    <row r="5" spans="1:5" x14ac:dyDescent="0.25">
      <c r="A5" t="s">
        <v>69</v>
      </c>
      <c r="B5">
        <v>1.08</v>
      </c>
      <c r="C5">
        <v>1.22</v>
      </c>
      <c r="E5">
        <f t="shared" si="0"/>
        <v>0.1399999999999999</v>
      </c>
    </row>
    <row r="6" spans="1:5" x14ac:dyDescent="0.25">
      <c r="A6" t="s">
        <v>70</v>
      </c>
      <c r="B6">
        <v>0.69</v>
      </c>
      <c r="C6">
        <v>0.84</v>
      </c>
      <c r="E6">
        <f t="shared" si="0"/>
        <v>0.15000000000000002</v>
      </c>
    </row>
    <row r="7" spans="1:5" x14ac:dyDescent="0.25">
      <c r="A7" t="s">
        <v>74</v>
      </c>
      <c r="B7">
        <v>0.97</v>
      </c>
      <c r="C7">
        <v>0.76</v>
      </c>
      <c r="E7">
        <f t="shared" si="0"/>
        <v>-0.20999999999999996</v>
      </c>
    </row>
    <row r="8" spans="1:5" x14ac:dyDescent="0.25">
      <c r="A8" t="s">
        <v>79</v>
      </c>
      <c r="B8" s="5"/>
      <c r="C8" s="5"/>
    </row>
    <row r="9" spans="1:5" x14ac:dyDescent="0.25">
      <c r="A9" t="s">
        <v>80</v>
      </c>
      <c r="B9">
        <v>0.71</v>
      </c>
      <c r="C9">
        <v>0.72</v>
      </c>
      <c r="E9">
        <f t="shared" si="0"/>
        <v>1.0000000000000009E-2</v>
      </c>
    </row>
    <row r="10" spans="1:5" x14ac:dyDescent="0.25">
      <c r="A10" t="s">
        <v>86</v>
      </c>
      <c r="B10">
        <v>0.6</v>
      </c>
      <c r="C10">
        <v>0.56000000000000005</v>
      </c>
      <c r="E10">
        <f t="shared" si="0"/>
        <v>-3.9999999999999925E-2</v>
      </c>
    </row>
    <row r="11" spans="1:5" x14ac:dyDescent="0.25">
      <c r="A11" t="s">
        <v>92</v>
      </c>
      <c r="B11" s="5"/>
      <c r="C11" s="5"/>
    </row>
    <row r="12" spans="1:5" x14ac:dyDescent="0.25">
      <c r="A12" t="s">
        <v>93</v>
      </c>
      <c r="B12">
        <v>1.2</v>
      </c>
      <c r="C12">
        <v>1.23</v>
      </c>
      <c r="E12">
        <f t="shared" si="0"/>
        <v>3.0000000000000027E-2</v>
      </c>
    </row>
    <row r="13" spans="1:5" x14ac:dyDescent="0.25">
      <c r="A13" t="s">
        <v>110</v>
      </c>
      <c r="B13">
        <v>0.65</v>
      </c>
      <c r="C13">
        <v>0.79</v>
      </c>
      <c r="E13">
        <f t="shared" si="0"/>
        <v>0.14000000000000001</v>
      </c>
    </row>
    <row r="14" spans="1:5" x14ac:dyDescent="0.25">
      <c r="A14" t="s">
        <v>120</v>
      </c>
      <c r="B14">
        <v>0.63</v>
      </c>
      <c r="C14">
        <v>0.67</v>
      </c>
      <c r="E14">
        <f t="shared" si="0"/>
        <v>4.0000000000000036E-2</v>
      </c>
    </row>
    <row r="15" spans="1:5" x14ac:dyDescent="0.25">
      <c r="A15" t="s">
        <v>125</v>
      </c>
      <c r="B15" s="5"/>
      <c r="C15" s="5"/>
    </row>
    <row r="16" spans="1:5" x14ac:dyDescent="0.25">
      <c r="A16" t="s">
        <v>130</v>
      </c>
      <c r="B16">
        <v>0.53</v>
      </c>
      <c r="C16">
        <v>0.63</v>
      </c>
      <c r="E16">
        <f t="shared" si="0"/>
        <v>9.9999999999999978E-2</v>
      </c>
    </row>
    <row r="17" spans="1:5" x14ac:dyDescent="0.25">
      <c r="A17" t="s">
        <v>145</v>
      </c>
      <c r="B17">
        <v>1.66</v>
      </c>
      <c r="C17">
        <v>1.85</v>
      </c>
      <c r="E17">
        <f t="shared" si="0"/>
        <v>0.19000000000000017</v>
      </c>
    </row>
    <row r="18" spans="1:5" x14ac:dyDescent="0.25">
      <c r="A18" t="s">
        <v>144</v>
      </c>
      <c r="B18" s="5"/>
      <c r="C18" s="5"/>
    </row>
    <row r="19" spans="1:5" x14ac:dyDescent="0.25">
      <c r="A19" t="s">
        <v>132</v>
      </c>
      <c r="B19">
        <v>0.91</v>
      </c>
      <c r="C19">
        <v>0.79</v>
      </c>
      <c r="E19">
        <f t="shared" si="0"/>
        <v>-0.12</v>
      </c>
    </row>
    <row r="20" spans="1:5" x14ac:dyDescent="0.25">
      <c r="A20" t="s">
        <v>146</v>
      </c>
      <c r="B20">
        <v>0.63</v>
      </c>
      <c r="C20">
        <v>0.87</v>
      </c>
      <c r="E20">
        <f t="shared" si="0"/>
        <v>0.24</v>
      </c>
    </row>
    <row r="21" spans="1:5" x14ac:dyDescent="0.25">
      <c r="A21" t="s">
        <v>147</v>
      </c>
      <c r="B21">
        <v>0.77</v>
      </c>
      <c r="C21">
        <v>0.53</v>
      </c>
      <c r="E21">
        <f t="shared" si="0"/>
        <v>-0.24</v>
      </c>
    </row>
    <row r="22" spans="1:5" x14ac:dyDescent="0.25">
      <c r="A22" t="s">
        <v>155</v>
      </c>
      <c r="B22">
        <v>0.6</v>
      </c>
      <c r="C22">
        <v>1.29</v>
      </c>
      <c r="E22">
        <f t="shared" si="0"/>
        <v>0.69000000000000006</v>
      </c>
    </row>
    <row r="23" spans="1:5" x14ac:dyDescent="0.25">
      <c r="A23" t="s">
        <v>158</v>
      </c>
      <c r="B23">
        <v>0.56999999999999995</v>
      </c>
      <c r="C23">
        <v>0.8</v>
      </c>
      <c r="E23">
        <f t="shared" si="0"/>
        <v>0.23000000000000009</v>
      </c>
    </row>
    <row r="24" spans="1:5" x14ac:dyDescent="0.25">
      <c r="A24" t="s">
        <v>162</v>
      </c>
      <c r="B24" s="5"/>
      <c r="C24" s="5"/>
    </row>
    <row r="25" spans="1:5" x14ac:dyDescent="0.25">
      <c r="A25" t="s">
        <v>160</v>
      </c>
      <c r="B25">
        <v>2.65</v>
      </c>
      <c r="C25">
        <v>2.27</v>
      </c>
      <c r="E25">
        <f t="shared" si="0"/>
        <v>-0.37999999999999989</v>
      </c>
    </row>
    <row r="26" spans="1:5" x14ac:dyDescent="0.25">
      <c r="A26" t="s">
        <v>173</v>
      </c>
      <c r="B26">
        <v>1.32</v>
      </c>
      <c r="C26">
        <v>2.67</v>
      </c>
      <c r="E26">
        <f t="shared" si="0"/>
        <v>1.3499999999999999</v>
      </c>
    </row>
    <row r="27" spans="1:5" x14ac:dyDescent="0.25">
      <c r="A27" t="s">
        <v>174</v>
      </c>
      <c r="B27">
        <v>0.62</v>
      </c>
      <c r="C27">
        <v>0.65</v>
      </c>
      <c r="E27">
        <f t="shared" si="0"/>
        <v>3.0000000000000027E-2</v>
      </c>
    </row>
    <row r="28" spans="1:5" x14ac:dyDescent="0.25">
      <c r="A28" t="s">
        <v>175</v>
      </c>
      <c r="B28">
        <v>0.85</v>
      </c>
      <c r="C28">
        <v>0.97</v>
      </c>
      <c r="E28">
        <f t="shared" si="0"/>
        <v>0.12</v>
      </c>
    </row>
    <row r="29" spans="1:5" x14ac:dyDescent="0.25">
      <c r="A29" t="s">
        <v>187</v>
      </c>
      <c r="B29">
        <v>0.95</v>
      </c>
      <c r="C29">
        <v>0.89</v>
      </c>
      <c r="E29">
        <f t="shared" si="0"/>
        <v>-5.9999999999999942E-2</v>
      </c>
    </row>
    <row r="30" spans="1:5" x14ac:dyDescent="0.25">
      <c r="A30" t="s">
        <v>186</v>
      </c>
      <c r="B30">
        <v>0.88</v>
      </c>
      <c r="C30">
        <v>1.01</v>
      </c>
      <c r="E30">
        <f t="shared" si="0"/>
        <v>0.13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0.48</v>
      </c>
      <c r="C33">
        <v>0.49</v>
      </c>
      <c r="E33">
        <f t="shared" si="0"/>
        <v>1.0000000000000009E-2</v>
      </c>
    </row>
    <row r="34" spans="1:5" x14ac:dyDescent="0.25">
      <c r="A34" t="s">
        <v>13</v>
      </c>
      <c r="B34">
        <v>0.41</v>
      </c>
      <c r="C34">
        <v>0.54</v>
      </c>
      <c r="E34">
        <f t="shared" si="0"/>
        <v>0.13000000000000006</v>
      </c>
    </row>
    <row r="35" spans="1:5" x14ac:dyDescent="0.25">
      <c r="A35" t="s">
        <v>68</v>
      </c>
      <c r="B35">
        <v>1.1100000000000001</v>
      </c>
      <c r="C35">
        <v>1.02</v>
      </c>
      <c r="E35">
        <f t="shared" si="0"/>
        <v>-9.000000000000008E-2</v>
      </c>
    </row>
    <row r="36" spans="1:5" x14ac:dyDescent="0.25">
      <c r="A36" t="s">
        <v>69</v>
      </c>
      <c r="B36">
        <v>0.94</v>
      </c>
      <c r="C36">
        <v>0.82</v>
      </c>
      <c r="E36">
        <f t="shared" si="0"/>
        <v>-0.12</v>
      </c>
    </row>
    <row r="37" spans="1:5" x14ac:dyDescent="0.25">
      <c r="A37" t="s">
        <v>70</v>
      </c>
      <c r="B37">
        <v>0.84</v>
      </c>
      <c r="C37">
        <v>0.85</v>
      </c>
      <c r="E37">
        <f t="shared" si="0"/>
        <v>1.0000000000000009E-2</v>
      </c>
    </row>
    <row r="38" spans="1:5" x14ac:dyDescent="0.25">
      <c r="A38" t="s">
        <v>74</v>
      </c>
      <c r="B38">
        <v>0.87</v>
      </c>
      <c r="C38">
        <v>0.94</v>
      </c>
      <c r="E38">
        <f t="shared" si="0"/>
        <v>6.9999999999999951E-2</v>
      </c>
    </row>
    <row r="39" spans="1:5" x14ac:dyDescent="0.25">
      <c r="A39" t="s">
        <v>79</v>
      </c>
      <c r="B39" s="5"/>
      <c r="C39" s="5"/>
    </row>
    <row r="40" spans="1:5" x14ac:dyDescent="0.25">
      <c r="A40" t="s">
        <v>80</v>
      </c>
      <c r="B40">
        <v>0.61</v>
      </c>
      <c r="C40">
        <v>0.59</v>
      </c>
      <c r="E40">
        <f t="shared" si="0"/>
        <v>-2.0000000000000018E-2</v>
      </c>
    </row>
    <row r="41" spans="1:5" x14ac:dyDescent="0.25">
      <c r="A41" t="s">
        <v>86</v>
      </c>
      <c r="B41">
        <v>0.68</v>
      </c>
      <c r="C41">
        <v>0.56000000000000005</v>
      </c>
      <c r="E41">
        <f t="shared" si="0"/>
        <v>-0.12</v>
      </c>
    </row>
    <row r="42" spans="1:5" x14ac:dyDescent="0.25">
      <c r="A42" t="s">
        <v>92</v>
      </c>
      <c r="B42" s="5">
        <v>1.06</v>
      </c>
      <c r="C42" s="5"/>
    </row>
    <row r="43" spans="1:5" x14ac:dyDescent="0.25">
      <c r="A43" t="s">
        <v>93</v>
      </c>
      <c r="B43">
        <v>1.47</v>
      </c>
      <c r="C43">
        <v>1.26</v>
      </c>
      <c r="E43">
        <f t="shared" si="0"/>
        <v>-0.20999999999999996</v>
      </c>
    </row>
    <row r="44" spans="1:5" x14ac:dyDescent="0.25">
      <c r="A44" t="s">
        <v>110</v>
      </c>
      <c r="B44">
        <v>0.71</v>
      </c>
      <c r="C44">
        <v>0.79</v>
      </c>
      <c r="E44">
        <f t="shared" si="0"/>
        <v>8.0000000000000071E-2</v>
      </c>
    </row>
    <row r="45" spans="1:5" x14ac:dyDescent="0.25">
      <c r="A45" t="s">
        <v>120</v>
      </c>
      <c r="B45">
        <v>0.61</v>
      </c>
      <c r="C45">
        <v>0.6</v>
      </c>
      <c r="E45">
        <f t="shared" si="0"/>
        <v>-1.0000000000000009E-2</v>
      </c>
    </row>
    <row r="46" spans="1:5" x14ac:dyDescent="0.25">
      <c r="A46" t="s">
        <v>125</v>
      </c>
      <c r="B46" s="5">
        <v>0.62</v>
      </c>
      <c r="C46" s="5"/>
    </row>
    <row r="47" spans="1:5" x14ac:dyDescent="0.25">
      <c r="A47" t="s">
        <v>130</v>
      </c>
      <c r="B47">
        <v>0.66</v>
      </c>
      <c r="C47">
        <v>0.7</v>
      </c>
      <c r="E47">
        <f t="shared" si="0"/>
        <v>3.9999999999999925E-2</v>
      </c>
    </row>
    <row r="48" spans="1:5" x14ac:dyDescent="0.25">
      <c r="A48" t="s">
        <v>145</v>
      </c>
      <c r="B48">
        <v>1.5</v>
      </c>
      <c r="C48">
        <v>1.37</v>
      </c>
      <c r="E48">
        <f t="shared" si="0"/>
        <v>-0.12999999999999989</v>
      </c>
    </row>
    <row r="49" spans="1:5" x14ac:dyDescent="0.25">
      <c r="A49" t="s">
        <v>144</v>
      </c>
      <c r="B49" s="5">
        <v>0.67</v>
      </c>
      <c r="C49" s="5">
        <v>0.48</v>
      </c>
    </row>
    <row r="50" spans="1:5" x14ac:dyDescent="0.25">
      <c r="A50" t="s">
        <v>132</v>
      </c>
      <c r="B50">
        <v>0.6</v>
      </c>
      <c r="C50">
        <v>1.19</v>
      </c>
      <c r="E50">
        <f t="shared" si="0"/>
        <v>0.59</v>
      </c>
    </row>
    <row r="51" spans="1:5" x14ac:dyDescent="0.25">
      <c r="A51" t="s">
        <v>146</v>
      </c>
      <c r="B51">
        <v>0.82</v>
      </c>
      <c r="C51">
        <v>0.8</v>
      </c>
      <c r="E51">
        <f t="shared" si="0"/>
        <v>-1.9999999999999907E-2</v>
      </c>
    </row>
    <row r="52" spans="1:5" x14ac:dyDescent="0.25">
      <c r="A52" t="s">
        <v>147</v>
      </c>
      <c r="B52">
        <v>0.65</v>
      </c>
      <c r="C52">
        <v>0.69</v>
      </c>
      <c r="E52">
        <f t="shared" si="0"/>
        <v>3.9999999999999925E-2</v>
      </c>
    </row>
    <row r="53" spans="1:5" x14ac:dyDescent="0.25">
      <c r="A53" t="s">
        <v>155</v>
      </c>
      <c r="B53">
        <v>1.17</v>
      </c>
      <c r="C53">
        <v>1.41</v>
      </c>
      <c r="E53">
        <f t="shared" si="0"/>
        <v>0.24</v>
      </c>
    </row>
    <row r="54" spans="1:5" x14ac:dyDescent="0.25">
      <c r="A54" t="s">
        <v>158</v>
      </c>
      <c r="B54">
        <v>0.6</v>
      </c>
      <c r="C54">
        <v>0.5</v>
      </c>
      <c r="E54">
        <f t="shared" si="0"/>
        <v>-9.9999999999999978E-2</v>
      </c>
    </row>
    <row r="55" spans="1:5" x14ac:dyDescent="0.25">
      <c r="A55" t="s">
        <v>162</v>
      </c>
      <c r="B55" s="5"/>
      <c r="C55" s="5">
        <v>1.1200000000000001</v>
      </c>
    </row>
    <row r="56" spans="1:5" x14ac:dyDescent="0.25">
      <c r="A56" t="s">
        <v>160</v>
      </c>
      <c r="B56">
        <v>1.74</v>
      </c>
      <c r="C56">
        <v>2.0099999999999998</v>
      </c>
      <c r="E56">
        <f t="shared" si="0"/>
        <v>0.2699999999999998</v>
      </c>
    </row>
    <row r="57" spans="1:5" x14ac:dyDescent="0.25">
      <c r="A57" t="s">
        <v>173</v>
      </c>
      <c r="B57">
        <v>1.37</v>
      </c>
      <c r="C57">
        <v>1.79</v>
      </c>
      <c r="E57">
        <f t="shared" si="0"/>
        <v>0.41999999999999993</v>
      </c>
    </row>
    <row r="58" spans="1:5" x14ac:dyDescent="0.25">
      <c r="A58" t="s">
        <v>174</v>
      </c>
      <c r="B58">
        <v>0.62</v>
      </c>
      <c r="C58">
        <v>0.65</v>
      </c>
      <c r="E58">
        <f t="shared" si="0"/>
        <v>3.0000000000000027E-2</v>
      </c>
    </row>
    <row r="59" spans="1:5" x14ac:dyDescent="0.25">
      <c r="A59" t="s">
        <v>175</v>
      </c>
      <c r="B59">
        <v>0.8</v>
      </c>
      <c r="C59">
        <v>0.84</v>
      </c>
      <c r="E59">
        <f t="shared" si="0"/>
        <v>3.9999999999999925E-2</v>
      </c>
    </row>
    <row r="60" spans="1:5" x14ac:dyDescent="0.25">
      <c r="A60" t="s">
        <v>187</v>
      </c>
      <c r="B60">
        <v>0.89</v>
      </c>
      <c r="C60">
        <v>0.87</v>
      </c>
      <c r="E60">
        <f t="shared" si="0"/>
        <v>-2.0000000000000018E-2</v>
      </c>
    </row>
    <row r="61" spans="1:5" x14ac:dyDescent="0.25">
      <c r="A61" t="s">
        <v>186</v>
      </c>
      <c r="B61">
        <v>1.36</v>
      </c>
      <c r="C61">
        <v>1.07</v>
      </c>
      <c r="E61">
        <f t="shared" si="0"/>
        <v>-0.29000000000000004</v>
      </c>
    </row>
    <row r="63" spans="1:5" x14ac:dyDescent="0.25">
      <c r="D63" s="25"/>
      <c r="E63" s="37"/>
    </row>
    <row r="65" spans="4:6" x14ac:dyDescent="0.25">
      <c r="D65" s="25"/>
      <c r="E65" s="26"/>
      <c r="F65" s="26"/>
    </row>
    <row r="66" spans="4:6" x14ac:dyDescent="0.25">
      <c r="D66" s="25"/>
      <c r="E66" s="26"/>
      <c r="F66" s="2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Y66"/>
  <sheetViews>
    <sheetView zoomScale="55" zoomScaleNormal="55" workbookViewId="0">
      <selection activeCell="G67" sqref="C63:G67"/>
    </sheetView>
  </sheetViews>
  <sheetFormatPr defaultRowHeight="15" x14ac:dyDescent="0.25"/>
  <cols>
    <col min="8" max="8" width="19.5703125" bestFit="1" customWidth="1"/>
    <col min="9" max="9" width="13.140625" bestFit="1" customWidth="1"/>
    <col min="10" max="10" width="19.5703125" bestFit="1" customWidth="1"/>
    <col min="13" max="13" width="19.5703125" bestFit="1" customWidth="1"/>
    <col min="14" max="14" width="13.140625" bestFit="1" customWidth="1"/>
    <col min="15" max="15" width="19.5703125" bestFit="1" customWidth="1"/>
  </cols>
  <sheetData>
    <row r="1" spans="1:2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25" x14ac:dyDescent="0.25">
      <c r="A2" t="s">
        <v>3</v>
      </c>
      <c r="B2">
        <v>6</v>
      </c>
      <c r="C2">
        <v>34.838999999999999</v>
      </c>
      <c r="E2">
        <f>C2-B2</f>
        <v>28.838999999999999</v>
      </c>
      <c r="F2" s="4"/>
      <c r="G2" s="4"/>
      <c r="H2" s="4"/>
    </row>
    <row r="3" spans="1:25" x14ac:dyDescent="0.25">
      <c r="A3" t="s">
        <v>13</v>
      </c>
      <c r="B3">
        <v>51.707999999999998</v>
      </c>
      <c r="C3">
        <v>24.432000000000002</v>
      </c>
      <c r="E3">
        <f t="shared" ref="E3:E61" si="0">C3-B3</f>
        <v>-27.275999999999996</v>
      </c>
      <c r="F3" s="4"/>
      <c r="G3" s="4"/>
      <c r="H3" s="4"/>
    </row>
    <row r="4" spans="1:25" x14ac:dyDescent="0.25">
      <c r="A4" t="s">
        <v>68</v>
      </c>
      <c r="B4">
        <v>6</v>
      </c>
      <c r="C4">
        <v>6</v>
      </c>
      <c r="E4">
        <f t="shared" si="0"/>
        <v>0</v>
      </c>
      <c r="F4" s="4"/>
      <c r="G4" s="4"/>
      <c r="H4" s="4"/>
    </row>
    <row r="5" spans="1:25" x14ac:dyDescent="0.25">
      <c r="A5" t="s">
        <v>69</v>
      </c>
      <c r="B5">
        <v>42.599999999999994</v>
      </c>
      <c r="C5">
        <v>43.692</v>
      </c>
      <c r="E5">
        <f t="shared" si="0"/>
        <v>1.0920000000000059</v>
      </c>
      <c r="F5" s="4"/>
      <c r="G5" s="4"/>
      <c r="H5" s="4"/>
    </row>
    <row r="6" spans="1:25" x14ac:dyDescent="0.25">
      <c r="A6" t="s">
        <v>70</v>
      </c>
      <c r="B6">
        <v>31.268999999999998</v>
      </c>
      <c r="C6">
        <v>46.371000000000002</v>
      </c>
      <c r="E6">
        <f t="shared" si="0"/>
        <v>15.102000000000004</v>
      </c>
      <c r="F6" s="4"/>
      <c r="G6" s="4"/>
      <c r="H6" s="4"/>
    </row>
    <row r="7" spans="1:25" x14ac:dyDescent="0.25">
      <c r="A7" t="s">
        <v>74</v>
      </c>
      <c r="B7">
        <v>23.124000000000002</v>
      </c>
      <c r="C7">
        <v>55.938000000000002</v>
      </c>
      <c r="E7">
        <f t="shared" si="0"/>
        <v>32.814</v>
      </c>
      <c r="F7" s="4"/>
      <c r="G7" s="4"/>
      <c r="H7" s="4"/>
    </row>
    <row r="8" spans="1:25" x14ac:dyDescent="0.25">
      <c r="A8" t="s">
        <v>79</v>
      </c>
      <c r="B8" s="5"/>
      <c r="C8" s="5"/>
      <c r="F8" s="4"/>
      <c r="G8" s="4"/>
      <c r="H8" s="4"/>
    </row>
    <row r="9" spans="1:25" x14ac:dyDescent="0.25">
      <c r="A9" t="s">
        <v>80</v>
      </c>
      <c r="B9">
        <v>6</v>
      </c>
      <c r="C9">
        <v>6</v>
      </c>
      <c r="E9">
        <v>0</v>
      </c>
      <c r="F9" s="4"/>
      <c r="G9" s="4"/>
      <c r="H9" s="4"/>
    </row>
    <row r="10" spans="1:25" x14ac:dyDescent="0.25">
      <c r="A10" t="s">
        <v>86</v>
      </c>
      <c r="B10">
        <v>46.436999999999998</v>
      </c>
      <c r="C10">
        <v>37.085999999999999</v>
      </c>
      <c r="E10">
        <f t="shared" si="0"/>
        <v>-9.3509999999999991</v>
      </c>
      <c r="F10" s="4"/>
      <c r="G10" s="4"/>
      <c r="H10" s="4"/>
    </row>
    <row r="11" spans="1:25" x14ac:dyDescent="0.25">
      <c r="A11" t="s">
        <v>92</v>
      </c>
      <c r="B11" s="5"/>
      <c r="C11" s="5"/>
      <c r="F11" s="4"/>
      <c r="G11" s="4"/>
      <c r="H11" s="4"/>
    </row>
    <row r="12" spans="1:25" x14ac:dyDescent="0.25">
      <c r="A12" t="s">
        <v>93</v>
      </c>
      <c r="B12">
        <v>84.585000000000008</v>
      </c>
      <c r="C12">
        <v>68.027999999999992</v>
      </c>
      <c r="E12">
        <f t="shared" si="0"/>
        <v>-16.557000000000016</v>
      </c>
      <c r="F12" s="4"/>
      <c r="G12" s="4"/>
      <c r="H12" s="4"/>
    </row>
    <row r="13" spans="1:25" x14ac:dyDescent="0.25">
      <c r="A13" t="s">
        <v>110</v>
      </c>
      <c r="B13" s="4">
        <v>22.023</v>
      </c>
      <c r="C13" s="4">
        <v>1.7519999999999998</v>
      </c>
      <c r="E13">
        <f t="shared" si="0"/>
        <v>-20.271000000000001</v>
      </c>
      <c r="F13" s="4"/>
      <c r="G13" s="4"/>
      <c r="H13" s="34"/>
      <c r="I13" s="34"/>
      <c r="J13" s="34"/>
      <c r="K13" s="4"/>
      <c r="L13" s="4"/>
      <c r="M13" s="34"/>
      <c r="N13" s="34"/>
      <c r="O13" s="3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t="s">
        <v>120</v>
      </c>
      <c r="B14" s="4">
        <v>39.771000000000001</v>
      </c>
      <c r="C14" s="4">
        <v>38.94</v>
      </c>
      <c r="E14">
        <f t="shared" si="0"/>
        <v>-0.83100000000000307</v>
      </c>
      <c r="F14" s="4"/>
      <c r="G14" s="4"/>
      <c r="H14" s="34"/>
      <c r="I14" s="34"/>
      <c r="J14" s="34"/>
      <c r="K14" s="4"/>
      <c r="L14" s="4"/>
      <c r="M14" s="34"/>
      <c r="N14" s="34"/>
      <c r="O14" s="3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5">
      <c r="A15" t="s">
        <v>125</v>
      </c>
      <c r="B15" s="5"/>
      <c r="C15" s="5"/>
      <c r="F15" s="4"/>
      <c r="G15" s="4"/>
      <c r="H15" s="34"/>
      <c r="I15" s="34"/>
      <c r="J15" s="34"/>
      <c r="K15" s="4"/>
      <c r="L15" s="4"/>
      <c r="M15" s="34"/>
      <c r="N15" s="34"/>
      <c r="O15" s="3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5">
      <c r="A16" t="s">
        <v>130</v>
      </c>
      <c r="B16" s="4">
        <v>23.183999999999997</v>
      </c>
      <c r="C16" s="4">
        <v>17.616</v>
      </c>
      <c r="E16">
        <f t="shared" si="0"/>
        <v>-5.5679999999999978</v>
      </c>
      <c r="F16" s="4"/>
      <c r="G16" s="4"/>
      <c r="H16" s="34"/>
      <c r="I16" s="34"/>
      <c r="J16" s="34"/>
      <c r="K16" s="4"/>
      <c r="L16" s="4"/>
      <c r="M16" s="34"/>
      <c r="N16" s="34"/>
      <c r="O16" s="3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5">
      <c r="A17" t="s">
        <v>145</v>
      </c>
      <c r="B17" s="4">
        <v>28.530000000000005</v>
      </c>
      <c r="C17" s="4">
        <v>50.003999999999998</v>
      </c>
      <c r="E17">
        <f t="shared" si="0"/>
        <v>21.473999999999993</v>
      </c>
      <c r="F17" s="4"/>
      <c r="G17" s="4"/>
      <c r="H17" s="34"/>
      <c r="I17" s="34"/>
      <c r="J17" s="34"/>
      <c r="K17" s="4"/>
      <c r="L17" s="4"/>
      <c r="M17" s="34"/>
      <c r="N17" s="34"/>
      <c r="O17" s="3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5">
      <c r="A18" t="s">
        <v>144</v>
      </c>
      <c r="B18" s="5"/>
      <c r="C18" s="5"/>
      <c r="F18" s="4"/>
      <c r="G18" s="4"/>
      <c r="H18" s="34"/>
      <c r="I18" s="34"/>
      <c r="J18" s="34"/>
      <c r="K18" s="4"/>
      <c r="L18" s="4"/>
      <c r="M18" s="34"/>
      <c r="N18" s="34"/>
      <c r="O18" s="3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x14ac:dyDescent="0.25">
      <c r="A19" t="s">
        <v>132</v>
      </c>
      <c r="B19" s="4">
        <v>17.841000000000001</v>
      </c>
      <c r="C19" s="4">
        <v>30.755999999999997</v>
      </c>
      <c r="E19">
        <f t="shared" si="0"/>
        <v>12.914999999999996</v>
      </c>
      <c r="F19" s="4"/>
      <c r="G19" s="4"/>
      <c r="H19" s="34"/>
      <c r="I19" s="34"/>
      <c r="J19" s="34"/>
      <c r="K19" s="4"/>
      <c r="L19" s="4"/>
      <c r="M19" s="34"/>
      <c r="N19" s="34"/>
      <c r="O19" s="3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t="s">
        <v>146</v>
      </c>
      <c r="B20" s="4">
        <v>6</v>
      </c>
      <c r="C20" s="4">
        <v>11.586</v>
      </c>
      <c r="E20">
        <f t="shared" si="0"/>
        <v>5.5860000000000003</v>
      </c>
      <c r="F20" s="4"/>
      <c r="G20" s="4"/>
      <c r="H20" s="34"/>
      <c r="I20" s="34"/>
      <c r="J20" s="34"/>
      <c r="K20" s="4"/>
      <c r="L20" s="4"/>
      <c r="M20" s="34"/>
      <c r="N20" s="34"/>
      <c r="O20" s="3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t="s">
        <v>147</v>
      </c>
      <c r="B21" s="4">
        <v>20.064</v>
      </c>
      <c r="C21" s="4">
        <v>6</v>
      </c>
      <c r="E21">
        <f t="shared" si="0"/>
        <v>-14.064</v>
      </c>
      <c r="F21" s="4"/>
      <c r="G21" s="4"/>
      <c r="H21" s="34"/>
      <c r="I21" s="34"/>
      <c r="J21" s="34"/>
      <c r="K21" s="4"/>
      <c r="L21" s="4"/>
      <c r="M21" s="34"/>
      <c r="N21" s="34"/>
      <c r="O21" s="3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t="s">
        <v>155</v>
      </c>
      <c r="B22" s="4">
        <v>25.731000000000002</v>
      </c>
      <c r="C22" s="4">
        <v>38.085000000000001</v>
      </c>
      <c r="E22">
        <f t="shared" si="0"/>
        <v>12.353999999999999</v>
      </c>
      <c r="F22" s="4"/>
      <c r="G22" s="4"/>
      <c r="H22" s="34"/>
      <c r="I22" s="34"/>
      <c r="J22" s="34"/>
      <c r="K22" s="4"/>
      <c r="L22" s="4"/>
      <c r="M22" s="34"/>
      <c r="N22" s="34"/>
      <c r="O22" s="3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t="s">
        <v>158</v>
      </c>
      <c r="B23" s="4">
        <v>22.521000000000001</v>
      </c>
      <c r="C23" s="4">
        <v>24.909000000000002</v>
      </c>
      <c r="E23">
        <f t="shared" si="0"/>
        <v>2.3880000000000017</v>
      </c>
      <c r="F23" s="4"/>
      <c r="G23" s="4"/>
      <c r="H23" s="34"/>
      <c r="I23" s="34"/>
      <c r="J23" s="34"/>
      <c r="K23" s="4"/>
      <c r="L23" s="4"/>
      <c r="M23" s="34"/>
      <c r="N23" s="34"/>
      <c r="O23" s="3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t="s">
        <v>162</v>
      </c>
      <c r="B24" s="5"/>
      <c r="C24" s="5"/>
      <c r="F24" s="4"/>
      <c r="G24" s="4"/>
      <c r="H24" s="34"/>
      <c r="I24" s="34"/>
      <c r="J24" s="34"/>
      <c r="K24" s="4"/>
      <c r="L24" s="4"/>
      <c r="M24" s="34"/>
      <c r="N24" s="34"/>
      <c r="O24" s="3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t="s">
        <v>160</v>
      </c>
      <c r="B25" s="4">
        <v>66.48599999999999</v>
      </c>
      <c r="C25" s="4">
        <v>83.694000000000003</v>
      </c>
      <c r="E25">
        <f t="shared" si="0"/>
        <v>17.208000000000013</v>
      </c>
      <c r="F25" s="4"/>
      <c r="G25" s="4"/>
      <c r="H25" s="34"/>
      <c r="I25" s="34"/>
      <c r="J25" s="34"/>
      <c r="K25" s="4"/>
      <c r="L25" s="4"/>
      <c r="M25" s="34"/>
      <c r="N25" s="34"/>
      <c r="O25" s="3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t="s">
        <v>173</v>
      </c>
      <c r="B26" s="4">
        <v>48.713999999999999</v>
      </c>
      <c r="C26" s="4">
        <v>60.345000000000006</v>
      </c>
      <c r="E26">
        <f t="shared" si="0"/>
        <v>11.631000000000007</v>
      </c>
      <c r="F26" s="4"/>
      <c r="G26" s="4"/>
      <c r="H26" s="34"/>
      <c r="I26" s="34"/>
      <c r="J26" s="34"/>
      <c r="K26" s="4"/>
      <c r="L26" s="4"/>
      <c r="M26" s="34"/>
      <c r="N26" s="34"/>
      <c r="O26" s="3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t="s">
        <v>174</v>
      </c>
      <c r="B27" s="4">
        <v>25.458000000000002</v>
      </c>
      <c r="C27" s="4">
        <v>21.869999999999997</v>
      </c>
      <c r="E27">
        <f t="shared" si="0"/>
        <v>-3.5880000000000045</v>
      </c>
      <c r="F27" s="4"/>
      <c r="G27" s="4"/>
      <c r="H27" s="34"/>
      <c r="I27" s="34"/>
      <c r="J27" s="34"/>
      <c r="K27" s="4"/>
      <c r="L27" s="4"/>
      <c r="M27" s="34"/>
      <c r="N27" s="34"/>
      <c r="O27" s="3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t="s">
        <v>175</v>
      </c>
      <c r="B28" s="4">
        <v>122.46899999999999</v>
      </c>
      <c r="C28" s="4">
        <v>85.641000000000005</v>
      </c>
      <c r="E28">
        <f t="shared" si="0"/>
        <v>-36.827999999999989</v>
      </c>
      <c r="F28" s="4"/>
      <c r="G28" s="4"/>
      <c r="H28" s="34"/>
      <c r="I28" s="34"/>
      <c r="J28" s="34"/>
      <c r="K28" s="4"/>
      <c r="L28" s="4"/>
      <c r="M28" s="34"/>
      <c r="N28" s="34"/>
      <c r="O28" s="3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t="s">
        <v>187</v>
      </c>
      <c r="B29" s="4">
        <v>31.335000000000001</v>
      </c>
      <c r="C29" s="4">
        <v>28.875</v>
      </c>
      <c r="E29">
        <f t="shared" si="0"/>
        <v>-2.4600000000000009</v>
      </c>
      <c r="F29" s="4"/>
      <c r="G29" s="4"/>
      <c r="H29" s="34"/>
      <c r="I29" s="34"/>
      <c r="J29" s="34"/>
      <c r="K29" s="4"/>
      <c r="L29" s="4"/>
      <c r="M29" s="34"/>
      <c r="N29" s="34"/>
      <c r="O29" s="3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t="s">
        <v>186</v>
      </c>
      <c r="B30" s="4">
        <v>35.717999999999996</v>
      </c>
      <c r="C30" s="4">
        <v>30.837</v>
      </c>
      <c r="E30">
        <f t="shared" si="0"/>
        <v>-4.8809999999999967</v>
      </c>
      <c r="F30" s="4"/>
      <c r="G30" s="4"/>
      <c r="H30" s="34"/>
      <c r="I30" s="34"/>
      <c r="J30" s="34"/>
      <c r="K30" s="4"/>
      <c r="L30" s="4"/>
      <c r="M30" s="34"/>
      <c r="N30" s="34"/>
      <c r="O30" s="3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25">
      <c r="B31" s="4"/>
      <c r="C31" s="4"/>
      <c r="F31" s="4"/>
      <c r="G31" s="4"/>
      <c r="H31" s="34"/>
      <c r="I31" s="34"/>
      <c r="J31" s="34"/>
      <c r="K31" s="4"/>
      <c r="L31" s="4"/>
      <c r="M31" s="34"/>
      <c r="N31" s="34"/>
      <c r="O31" s="3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25" customFormat="1" x14ac:dyDescent="0.25">
      <c r="A32" s="25" t="s">
        <v>1</v>
      </c>
      <c r="B32" s="4"/>
      <c r="C32" s="34"/>
      <c r="E32"/>
      <c r="F32" s="4"/>
      <c r="G32" s="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4"/>
      <c r="S32" s="34"/>
      <c r="T32" s="34"/>
      <c r="U32" s="34"/>
      <c r="V32" s="34"/>
      <c r="W32" s="34"/>
      <c r="X32" s="34"/>
      <c r="Y32" s="34"/>
    </row>
    <row r="33" spans="1:25" x14ac:dyDescent="0.25">
      <c r="A33" t="s">
        <v>3</v>
      </c>
      <c r="B33" s="4">
        <v>35.535000000000004</v>
      </c>
      <c r="C33" s="4">
        <v>56.445000000000007</v>
      </c>
      <c r="E33">
        <f t="shared" si="0"/>
        <v>20.910000000000004</v>
      </c>
      <c r="F33" s="4"/>
      <c r="G33" s="4"/>
      <c r="H33" s="34"/>
      <c r="I33" s="34"/>
      <c r="J33" s="34"/>
      <c r="K33" s="4"/>
      <c r="L33" s="4"/>
      <c r="M33" s="34"/>
      <c r="N33" s="34"/>
      <c r="O33" s="3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x14ac:dyDescent="0.25">
      <c r="A34" t="s">
        <v>13</v>
      </c>
      <c r="B34" s="4">
        <v>42.480000000000004</v>
      </c>
      <c r="C34" s="4">
        <v>74.768999999999991</v>
      </c>
      <c r="E34">
        <f t="shared" si="0"/>
        <v>32.288999999999987</v>
      </c>
      <c r="F34" s="4"/>
      <c r="G34" s="4"/>
      <c r="H34" s="34"/>
      <c r="I34" s="34"/>
      <c r="J34" s="34"/>
      <c r="K34" s="4"/>
      <c r="L34" s="4"/>
      <c r="M34" s="34"/>
      <c r="N34" s="34"/>
      <c r="O34" s="3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25">
      <c r="A35" t="s">
        <v>68</v>
      </c>
      <c r="B35" s="4">
        <v>6</v>
      </c>
      <c r="C35" s="4">
        <v>69.441000000000003</v>
      </c>
      <c r="E35">
        <f t="shared" si="0"/>
        <v>63.441000000000003</v>
      </c>
      <c r="F35" s="4"/>
      <c r="G35" s="4"/>
      <c r="H35" s="34"/>
      <c r="I35" s="34"/>
      <c r="J35" s="34"/>
      <c r="K35" s="4"/>
      <c r="L35" s="4"/>
      <c r="M35" s="34"/>
      <c r="N35" s="34"/>
      <c r="O35" s="3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25">
      <c r="A36" t="s">
        <v>69</v>
      </c>
      <c r="B36" s="4">
        <v>39.942</v>
      </c>
      <c r="C36" s="4">
        <v>52.518000000000001</v>
      </c>
      <c r="E36">
        <f t="shared" si="0"/>
        <v>12.576000000000001</v>
      </c>
      <c r="F36" s="4"/>
      <c r="G36" s="4"/>
      <c r="H36" s="34"/>
      <c r="I36" s="34"/>
      <c r="J36" s="34"/>
      <c r="K36" s="4"/>
      <c r="L36" s="4"/>
      <c r="M36" s="34"/>
      <c r="N36" s="34"/>
      <c r="O36" s="3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5">
      <c r="A37" t="s">
        <v>70</v>
      </c>
      <c r="B37" s="4">
        <v>69.138000000000005</v>
      </c>
      <c r="C37" s="4">
        <v>31.98</v>
      </c>
      <c r="E37">
        <f t="shared" si="0"/>
        <v>-37.158000000000001</v>
      </c>
      <c r="F37" s="4"/>
      <c r="G37" s="4"/>
      <c r="H37" s="34"/>
      <c r="I37" s="34"/>
      <c r="J37" s="34"/>
      <c r="K37" s="4"/>
      <c r="L37" s="4"/>
      <c r="M37" s="34"/>
      <c r="N37" s="34"/>
      <c r="O37" s="3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5">
      <c r="A38" t="s">
        <v>74</v>
      </c>
      <c r="B38" s="4">
        <v>43.454999999999998</v>
      </c>
      <c r="C38" s="4">
        <v>48.822000000000003</v>
      </c>
      <c r="E38">
        <f t="shared" si="0"/>
        <v>5.3670000000000044</v>
      </c>
      <c r="F38" s="4"/>
      <c r="G38" s="4"/>
      <c r="H38" s="34"/>
      <c r="I38" s="34"/>
      <c r="J38" s="34"/>
      <c r="K38" s="4"/>
      <c r="L38" s="4"/>
      <c r="M38" s="34"/>
      <c r="N38" s="34"/>
      <c r="O38" s="3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5">
      <c r="A39" t="s">
        <v>79</v>
      </c>
      <c r="B39" s="5"/>
      <c r="C39" s="5"/>
      <c r="F39" s="4"/>
      <c r="G39" s="4"/>
      <c r="H39" s="34"/>
      <c r="I39" s="34"/>
      <c r="J39" s="34"/>
      <c r="K39" s="4"/>
      <c r="L39" s="4"/>
      <c r="M39" s="34"/>
      <c r="N39" s="34"/>
      <c r="O39" s="3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25">
      <c r="A40" t="s">
        <v>80</v>
      </c>
      <c r="B40" s="4">
        <v>6</v>
      </c>
      <c r="C40" s="4">
        <v>37.659000000000006</v>
      </c>
      <c r="E40">
        <f t="shared" si="0"/>
        <v>31.659000000000006</v>
      </c>
      <c r="F40" s="4"/>
      <c r="G40" s="4"/>
      <c r="H40" s="34"/>
      <c r="I40" s="34"/>
      <c r="J40" s="34"/>
      <c r="K40" s="4"/>
      <c r="L40" s="4"/>
      <c r="M40" s="34"/>
      <c r="N40" s="34"/>
      <c r="O40" s="3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x14ac:dyDescent="0.25">
      <c r="A41" t="s">
        <v>86</v>
      </c>
      <c r="B41" s="4">
        <v>43.454999999999998</v>
      </c>
      <c r="C41" s="4">
        <v>48.822000000000003</v>
      </c>
      <c r="E41">
        <f t="shared" si="0"/>
        <v>5.3670000000000044</v>
      </c>
      <c r="F41" s="4"/>
      <c r="G41" s="4"/>
      <c r="H41" s="34"/>
      <c r="I41" s="34"/>
      <c r="J41" s="34"/>
      <c r="K41" s="4"/>
      <c r="L41" s="4"/>
      <c r="M41" s="34"/>
      <c r="N41" s="34"/>
      <c r="O41" s="3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x14ac:dyDescent="0.25">
      <c r="A42" t="s">
        <v>92</v>
      </c>
      <c r="B42" s="5"/>
      <c r="C42" s="5"/>
      <c r="F42" s="4"/>
      <c r="G42" s="4"/>
      <c r="H42" s="34"/>
      <c r="I42" s="34"/>
      <c r="J42" s="34"/>
      <c r="K42" s="4"/>
      <c r="L42" s="4"/>
      <c r="M42" s="34"/>
      <c r="N42" s="34"/>
      <c r="O42" s="3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x14ac:dyDescent="0.25">
      <c r="A43" t="s">
        <v>93</v>
      </c>
      <c r="B43" s="4">
        <v>71.573999999999998</v>
      </c>
      <c r="C43" s="4">
        <v>63.489000000000004</v>
      </c>
      <c r="E43">
        <f t="shared" si="0"/>
        <v>-8.0849999999999937</v>
      </c>
      <c r="F43" s="4"/>
      <c r="G43" s="4"/>
      <c r="H43" s="34"/>
      <c r="I43" s="34"/>
      <c r="J43" s="34"/>
      <c r="K43" s="4"/>
      <c r="L43" s="4"/>
      <c r="M43" s="34"/>
      <c r="N43" s="34"/>
      <c r="O43" s="3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x14ac:dyDescent="0.25">
      <c r="A44" t="s">
        <v>110</v>
      </c>
      <c r="B44" s="4">
        <v>30.411000000000001</v>
      </c>
      <c r="C44" s="4">
        <v>6</v>
      </c>
      <c r="E44">
        <f t="shared" si="0"/>
        <v>-24.411000000000001</v>
      </c>
      <c r="F44" s="4"/>
      <c r="G44" s="4"/>
      <c r="H44" s="34"/>
      <c r="I44" s="34"/>
      <c r="J44" s="34"/>
      <c r="K44" s="4"/>
      <c r="L44" s="4"/>
      <c r="M44" s="34"/>
      <c r="N44" s="34"/>
      <c r="O44" s="3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x14ac:dyDescent="0.25">
      <c r="A45" t="s">
        <v>120</v>
      </c>
      <c r="B45" s="4">
        <v>28.911000000000001</v>
      </c>
      <c r="C45" s="4">
        <v>29.28</v>
      </c>
      <c r="E45">
        <f t="shared" si="0"/>
        <v>0.36899999999999977</v>
      </c>
      <c r="F45" s="4"/>
      <c r="G45" s="4"/>
      <c r="H45" s="34"/>
      <c r="I45" s="34"/>
      <c r="J45" s="34"/>
      <c r="K45" s="4"/>
      <c r="L45" s="4"/>
      <c r="M45" s="34"/>
      <c r="N45" s="34"/>
      <c r="O45" s="3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x14ac:dyDescent="0.25">
      <c r="A46" t="s">
        <v>125</v>
      </c>
      <c r="B46" s="5"/>
      <c r="C46" s="5"/>
      <c r="F46" s="4"/>
      <c r="G46" s="4"/>
      <c r="H46" s="34"/>
      <c r="I46" s="34"/>
      <c r="J46" s="34"/>
      <c r="K46" s="4"/>
      <c r="L46" s="4"/>
      <c r="M46" s="34"/>
      <c r="N46" s="34"/>
      <c r="O46" s="3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x14ac:dyDescent="0.25">
      <c r="A47" t="s">
        <v>130</v>
      </c>
      <c r="B47" s="4">
        <v>18.335999999999999</v>
      </c>
      <c r="C47" s="4">
        <v>20.433</v>
      </c>
      <c r="E47">
        <f t="shared" si="0"/>
        <v>2.0970000000000013</v>
      </c>
      <c r="F47" s="4"/>
      <c r="G47" s="4"/>
      <c r="H47" s="34"/>
      <c r="I47" s="34"/>
      <c r="J47" s="34"/>
      <c r="K47" s="4"/>
      <c r="L47" s="4"/>
      <c r="M47" s="34"/>
      <c r="N47" s="34"/>
      <c r="O47" s="3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x14ac:dyDescent="0.25">
      <c r="A48" t="s">
        <v>145</v>
      </c>
      <c r="B48" s="4">
        <v>57.284999999999997</v>
      </c>
      <c r="C48" s="4">
        <v>25.47</v>
      </c>
      <c r="E48">
        <f t="shared" si="0"/>
        <v>-31.814999999999998</v>
      </c>
      <c r="F48" s="4"/>
      <c r="G48" s="4"/>
      <c r="H48" s="34"/>
      <c r="I48" s="34"/>
      <c r="J48" s="34"/>
      <c r="K48" s="4"/>
      <c r="L48" s="4"/>
      <c r="M48" s="34"/>
      <c r="N48" s="34"/>
      <c r="O48" s="3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x14ac:dyDescent="0.25">
      <c r="A49" t="s">
        <v>144</v>
      </c>
      <c r="B49" s="5"/>
      <c r="C49" s="5"/>
      <c r="F49" s="4"/>
      <c r="G49" s="4"/>
      <c r="H49" s="34"/>
      <c r="I49" s="34"/>
      <c r="J49" s="34"/>
      <c r="K49" s="4"/>
      <c r="L49" s="4"/>
      <c r="M49" s="34"/>
      <c r="N49" s="34"/>
      <c r="O49" s="3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x14ac:dyDescent="0.25">
      <c r="A50" t="s">
        <v>132</v>
      </c>
      <c r="B50" s="4">
        <v>23.783999999999999</v>
      </c>
      <c r="C50" s="4">
        <v>18.999000000000002</v>
      </c>
      <c r="E50">
        <f t="shared" si="0"/>
        <v>-4.7849999999999966</v>
      </c>
      <c r="F50" s="4"/>
      <c r="G50" s="4"/>
      <c r="H50" s="34"/>
      <c r="I50" s="34"/>
      <c r="J50" s="34"/>
      <c r="K50" s="4"/>
      <c r="L50" s="4"/>
      <c r="M50" s="34"/>
      <c r="N50" s="34"/>
      <c r="O50" s="3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x14ac:dyDescent="0.25">
      <c r="A51" t="s">
        <v>146</v>
      </c>
      <c r="B51" s="4">
        <v>17.483999999999998</v>
      </c>
      <c r="C51" s="4">
        <v>22.728000000000002</v>
      </c>
      <c r="E51">
        <f t="shared" si="0"/>
        <v>5.2440000000000033</v>
      </c>
      <c r="F51" s="4"/>
      <c r="G51" s="4"/>
      <c r="H51" s="34"/>
      <c r="I51" s="34"/>
      <c r="J51" s="34"/>
      <c r="K51" s="4"/>
      <c r="L51" s="4"/>
      <c r="M51" s="34"/>
      <c r="N51" s="34"/>
      <c r="O51" s="3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x14ac:dyDescent="0.25">
      <c r="A52" t="s">
        <v>147</v>
      </c>
      <c r="B52" s="4">
        <v>25.008000000000003</v>
      </c>
      <c r="C52" s="4">
        <v>23.802</v>
      </c>
      <c r="E52">
        <f t="shared" si="0"/>
        <v>-1.2060000000000031</v>
      </c>
      <c r="F52" s="4"/>
      <c r="G52" s="4"/>
      <c r="H52" s="34"/>
      <c r="I52" s="34"/>
      <c r="J52" s="34"/>
      <c r="K52" s="4"/>
      <c r="L52" s="4"/>
      <c r="M52" s="34"/>
      <c r="N52" s="34"/>
      <c r="O52" s="3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x14ac:dyDescent="0.25">
      <c r="A53" t="s">
        <v>155</v>
      </c>
      <c r="B53" s="4">
        <v>16.451999999999998</v>
      </c>
      <c r="C53" s="4">
        <v>48.603000000000002</v>
      </c>
      <c r="E53">
        <f t="shared" si="0"/>
        <v>32.151000000000003</v>
      </c>
      <c r="F53" s="4"/>
      <c r="G53" s="4"/>
      <c r="H53" s="34"/>
      <c r="I53" s="34"/>
      <c r="J53" s="34"/>
      <c r="K53" s="4"/>
      <c r="L53" s="4"/>
      <c r="M53" s="34"/>
      <c r="N53" s="34"/>
      <c r="O53" s="3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x14ac:dyDescent="0.25">
      <c r="A54" t="s">
        <v>158</v>
      </c>
      <c r="B54" s="4">
        <v>25.934999999999999</v>
      </c>
      <c r="C54" s="4">
        <v>18.891000000000002</v>
      </c>
      <c r="E54">
        <f t="shared" si="0"/>
        <v>-7.0439999999999969</v>
      </c>
      <c r="F54" s="4"/>
      <c r="G54" s="4"/>
      <c r="H54" s="34"/>
      <c r="I54" s="34"/>
      <c r="J54" s="34"/>
      <c r="K54" s="4"/>
      <c r="L54" s="4"/>
      <c r="M54" s="34"/>
      <c r="N54" s="34"/>
      <c r="O54" s="3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x14ac:dyDescent="0.25">
      <c r="A55" t="s">
        <v>162</v>
      </c>
      <c r="B55" s="5"/>
      <c r="C55" s="5"/>
      <c r="F55" s="4"/>
      <c r="G55" s="4"/>
      <c r="H55" s="34"/>
      <c r="I55" s="34"/>
      <c r="J55" s="34"/>
      <c r="K55" s="4"/>
      <c r="L55" s="4"/>
      <c r="M55" s="34"/>
      <c r="N55" s="34"/>
      <c r="O55" s="3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x14ac:dyDescent="0.25">
      <c r="A56" t="s">
        <v>160</v>
      </c>
      <c r="B56" s="4">
        <v>53.211000000000006</v>
      </c>
      <c r="C56" s="4">
        <v>52.349999999999994</v>
      </c>
      <c r="E56">
        <f t="shared" si="0"/>
        <v>-0.86100000000001131</v>
      </c>
      <c r="F56" s="4"/>
      <c r="G56" s="4"/>
      <c r="H56" s="34"/>
      <c r="I56" s="34"/>
      <c r="J56" s="34"/>
      <c r="K56" s="4"/>
      <c r="L56" s="4"/>
      <c r="M56" s="34"/>
      <c r="N56" s="34"/>
      <c r="O56" s="3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x14ac:dyDescent="0.25">
      <c r="A57" t="s">
        <v>173</v>
      </c>
      <c r="B57" s="4">
        <v>52.659000000000006</v>
      </c>
      <c r="C57" s="4">
        <v>52.818000000000005</v>
      </c>
      <c r="E57">
        <f t="shared" si="0"/>
        <v>0.15899999999999892</v>
      </c>
      <c r="F57" s="4"/>
      <c r="G57" s="4"/>
      <c r="H57" s="34"/>
      <c r="I57" s="34"/>
      <c r="J57" s="34"/>
      <c r="K57" s="4"/>
      <c r="L57" s="4"/>
      <c r="M57" s="34"/>
      <c r="N57" s="34"/>
      <c r="O57" s="3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x14ac:dyDescent="0.25">
      <c r="A58" t="s">
        <v>174</v>
      </c>
      <c r="B58" s="4">
        <v>19.478999999999999</v>
      </c>
      <c r="C58" s="4">
        <v>31.02</v>
      </c>
      <c r="E58">
        <f t="shared" si="0"/>
        <v>11.541</v>
      </c>
      <c r="F58" s="4"/>
      <c r="G58" s="4"/>
      <c r="H58" s="34"/>
      <c r="I58" s="34"/>
      <c r="J58" s="34"/>
      <c r="K58" s="4"/>
      <c r="L58" s="4"/>
      <c r="M58" s="34"/>
      <c r="N58" s="34"/>
      <c r="O58" s="3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x14ac:dyDescent="0.25">
      <c r="A59" t="s">
        <v>175</v>
      </c>
      <c r="B59" s="4">
        <v>70.581000000000003</v>
      </c>
      <c r="C59" s="4">
        <v>99.032999999999987</v>
      </c>
      <c r="E59">
        <f t="shared" si="0"/>
        <v>28.451999999999984</v>
      </c>
      <c r="F59" s="4"/>
      <c r="G59" s="4"/>
      <c r="H59" s="34"/>
      <c r="I59" s="34"/>
      <c r="J59" s="34"/>
      <c r="K59" s="4"/>
      <c r="L59" s="4"/>
      <c r="M59" s="34"/>
      <c r="N59" s="34"/>
      <c r="O59" s="3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x14ac:dyDescent="0.25">
      <c r="A60" t="s">
        <v>187</v>
      </c>
      <c r="B60" s="4">
        <v>27.603000000000002</v>
      </c>
      <c r="C60" s="4">
        <v>38.882999999999996</v>
      </c>
      <c r="E60">
        <f t="shared" si="0"/>
        <v>11.279999999999994</v>
      </c>
      <c r="F60" s="4"/>
      <c r="G60" s="4"/>
      <c r="H60" s="34"/>
      <c r="I60" s="34"/>
      <c r="J60" s="34"/>
      <c r="K60" s="4"/>
      <c r="L60" s="4"/>
      <c r="M60" s="34"/>
      <c r="N60" s="34"/>
      <c r="O60" s="3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x14ac:dyDescent="0.25">
      <c r="A61" t="s">
        <v>186</v>
      </c>
      <c r="B61" s="4">
        <v>35.301000000000002</v>
      </c>
      <c r="C61" s="4">
        <v>52.427999999999997</v>
      </c>
      <c r="E61">
        <f t="shared" si="0"/>
        <v>17.126999999999995</v>
      </c>
      <c r="F61" s="4"/>
      <c r="G61" s="4"/>
      <c r="H61" s="34"/>
      <c r="I61" s="34"/>
      <c r="J61" s="34"/>
      <c r="K61" s="4"/>
      <c r="L61" s="4"/>
      <c r="M61" s="34"/>
      <c r="N61" s="34"/>
      <c r="O61" s="3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x14ac:dyDescent="0.25"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x14ac:dyDescent="0.25">
      <c r="D63" s="25"/>
      <c r="E63" s="37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x14ac:dyDescent="0.2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4:25" x14ac:dyDescent="0.25">
      <c r="D65" s="25"/>
      <c r="E65" s="26"/>
      <c r="F65" s="40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4:25" x14ac:dyDescent="0.25">
      <c r="D66" s="25"/>
      <c r="E66" s="26"/>
      <c r="F66" s="26"/>
    </row>
  </sheetData>
  <conditionalFormatting sqref="J1:J1048576">
    <cfRule type="cellIs" dxfId="2" priority="3" operator="greaterThan">
      <formula>10</formula>
    </cfRule>
  </conditionalFormatting>
  <conditionalFormatting sqref="O13">
    <cfRule type="cellIs" dxfId="1" priority="2" operator="greaterThan">
      <formula>10</formula>
    </cfRule>
  </conditionalFormatting>
  <conditionalFormatting sqref="O1:O1048576">
    <cfRule type="cellIs" dxfId="0" priority="1" operator="greaterThan">
      <formula>10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64"/>
  <sheetViews>
    <sheetView zoomScale="55" zoomScaleNormal="55" workbookViewId="0">
      <selection activeCell="H10" sqref="H10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</row>
    <row r="2" spans="1:5" x14ac:dyDescent="0.25">
      <c r="A2" t="s">
        <v>3</v>
      </c>
      <c r="B2">
        <v>15.7095</v>
      </c>
      <c r="C2">
        <v>16.6995</v>
      </c>
      <c r="E2">
        <f>C2-B2</f>
        <v>0.99000000000000021</v>
      </c>
    </row>
    <row r="3" spans="1:5" x14ac:dyDescent="0.25">
      <c r="A3" t="s">
        <v>13</v>
      </c>
      <c r="B3">
        <v>25.317999999999998</v>
      </c>
      <c r="C3">
        <v>20.588999999999999</v>
      </c>
      <c r="E3">
        <f t="shared" ref="E3:E61" si="0">C3-B3</f>
        <v>-4.7289999999999992</v>
      </c>
    </row>
    <row r="4" spans="1:5" x14ac:dyDescent="0.25">
      <c r="A4" t="s">
        <v>68</v>
      </c>
      <c r="B4">
        <v>10.152000000000001</v>
      </c>
      <c r="C4">
        <v>20.235999999999997</v>
      </c>
      <c r="E4">
        <f t="shared" si="0"/>
        <v>10.083999999999996</v>
      </c>
    </row>
    <row r="5" spans="1:5" x14ac:dyDescent="0.25">
      <c r="A5" t="s">
        <v>69</v>
      </c>
      <c r="B5">
        <v>17.314</v>
      </c>
      <c r="C5">
        <v>13.210999999999999</v>
      </c>
      <c r="E5">
        <f t="shared" si="0"/>
        <v>-4.1030000000000015</v>
      </c>
    </row>
    <row r="6" spans="1:5" x14ac:dyDescent="0.25">
      <c r="A6" t="s">
        <v>70</v>
      </c>
      <c r="B6">
        <v>11.161</v>
      </c>
      <c r="C6">
        <v>10.150500000000001</v>
      </c>
      <c r="E6">
        <f t="shared" si="0"/>
        <v>-1.0104999999999986</v>
      </c>
    </row>
    <row r="7" spans="1:5" x14ac:dyDescent="0.25">
      <c r="A7" t="s">
        <v>74</v>
      </c>
      <c r="B7">
        <v>44.012500000000003</v>
      </c>
      <c r="C7">
        <v>17.069500000000001</v>
      </c>
      <c r="E7">
        <f t="shared" si="0"/>
        <v>-26.943000000000001</v>
      </c>
    </row>
    <row r="8" spans="1:5" x14ac:dyDescent="0.25">
      <c r="A8" t="s">
        <v>79</v>
      </c>
      <c r="B8" s="5"/>
      <c r="C8" s="5"/>
      <c r="E8">
        <f t="shared" si="0"/>
        <v>0</v>
      </c>
    </row>
    <row r="9" spans="1:5" x14ac:dyDescent="0.25">
      <c r="A9" t="s">
        <v>80</v>
      </c>
      <c r="B9">
        <v>12.5075</v>
      </c>
      <c r="C9">
        <v>10.055</v>
      </c>
      <c r="E9">
        <f t="shared" si="0"/>
        <v>-2.4525000000000006</v>
      </c>
    </row>
    <row r="10" spans="1:5" x14ac:dyDescent="0.25">
      <c r="A10" t="s">
        <v>86</v>
      </c>
      <c r="B10">
        <v>14.021000000000001</v>
      </c>
      <c r="C10">
        <v>8.3574999999999999</v>
      </c>
      <c r="E10">
        <f t="shared" si="0"/>
        <v>-5.6635000000000009</v>
      </c>
    </row>
    <row r="11" spans="1:5" x14ac:dyDescent="0.25">
      <c r="A11" t="s">
        <v>92</v>
      </c>
      <c r="B11" s="5"/>
      <c r="C11" s="5"/>
      <c r="E11">
        <f t="shared" si="0"/>
        <v>0</v>
      </c>
    </row>
    <row r="12" spans="1:5" x14ac:dyDescent="0.25">
      <c r="A12" t="s">
        <v>93</v>
      </c>
      <c r="B12">
        <v>19.539000000000001</v>
      </c>
      <c r="C12">
        <v>23.235999999999997</v>
      </c>
      <c r="E12">
        <f t="shared" si="0"/>
        <v>3.6969999999999956</v>
      </c>
    </row>
    <row r="13" spans="1:5" x14ac:dyDescent="0.25">
      <c r="A13" t="s">
        <v>110</v>
      </c>
      <c r="B13">
        <v>10.3545</v>
      </c>
      <c r="C13">
        <v>15.9925</v>
      </c>
      <c r="E13">
        <f t="shared" si="0"/>
        <v>5.6379999999999999</v>
      </c>
    </row>
    <row r="14" spans="1:5" x14ac:dyDescent="0.25">
      <c r="A14" t="s">
        <v>120</v>
      </c>
      <c r="B14">
        <v>7.9435000000000002</v>
      </c>
      <c r="C14">
        <v>15.6645</v>
      </c>
      <c r="E14">
        <f t="shared" si="0"/>
        <v>7.7210000000000001</v>
      </c>
    </row>
    <row r="15" spans="1:5" x14ac:dyDescent="0.25">
      <c r="A15" t="s">
        <v>125</v>
      </c>
      <c r="B15" s="5"/>
      <c r="C15" s="5"/>
      <c r="E15">
        <f t="shared" si="0"/>
        <v>0</v>
      </c>
    </row>
    <row r="16" spans="1:5" x14ac:dyDescent="0.25">
      <c r="A16" t="s">
        <v>130</v>
      </c>
      <c r="B16">
        <v>3.6930000000000001</v>
      </c>
      <c r="C16">
        <v>7.0904999999999996</v>
      </c>
      <c r="E16">
        <f t="shared" si="0"/>
        <v>3.3974999999999995</v>
      </c>
    </row>
    <row r="17" spans="1:5" x14ac:dyDescent="0.25">
      <c r="A17" t="s">
        <v>145</v>
      </c>
      <c r="B17">
        <v>10.233499999999999</v>
      </c>
      <c r="C17">
        <v>38.822000000000003</v>
      </c>
      <c r="E17">
        <f t="shared" si="0"/>
        <v>28.588500000000003</v>
      </c>
    </row>
    <row r="18" spans="1:5" x14ac:dyDescent="0.25">
      <c r="A18" t="s">
        <v>144</v>
      </c>
      <c r="B18" s="5"/>
      <c r="C18" s="5"/>
      <c r="E18">
        <f t="shared" si="0"/>
        <v>0</v>
      </c>
    </row>
    <row r="19" spans="1:5" x14ac:dyDescent="0.25">
      <c r="A19" t="s">
        <v>132</v>
      </c>
      <c r="B19">
        <v>13.551</v>
      </c>
      <c r="C19">
        <v>8.1120000000000001</v>
      </c>
      <c r="E19">
        <f t="shared" si="0"/>
        <v>-5.4390000000000001</v>
      </c>
    </row>
    <row r="20" spans="1:5" x14ac:dyDescent="0.25">
      <c r="A20" t="s">
        <v>146</v>
      </c>
      <c r="B20">
        <v>17.285499999999999</v>
      </c>
      <c r="C20">
        <v>23.7895</v>
      </c>
      <c r="E20">
        <f t="shared" si="0"/>
        <v>6.5040000000000013</v>
      </c>
    </row>
    <row r="21" spans="1:5" x14ac:dyDescent="0.25">
      <c r="A21" t="s">
        <v>147</v>
      </c>
      <c r="B21">
        <v>4.2495000000000003</v>
      </c>
      <c r="C21">
        <v>9.1215000000000011</v>
      </c>
      <c r="E21">
        <f t="shared" si="0"/>
        <v>4.8720000000000008</v>
      </c>
    </row>
    <row r="22" spans="1:5" x14ac:dyDescent="0.25">
      <c r="A22" t="s">
        <v>155</v>
      </c>
      <c r="B22">
        <v>10.6045</v>
      </c>
      <c r="C22">
        <v>29.7925</v>
      </c>
      <c r="E22">
        <f t="shared" si="0"/>
        <v>19.188000000000002</v>
      </c>
    </row>
    <row r="23" spans="1:5" x14ac:dyDescent="0.25">
      <c r="A23" t="s">
        <v>158</v>
      </c>
      <c r="B23">
        <v>11.363</v>
      </c>
      <c r="C23">
        <v>25.816499999999998</v>
      </c>
      <c r="E23">
        <f t="shared" si="0"/>
        <v>14.453499999999998</v>
      </c>
    </row>
    <row r="24" spans="1:5" x14ac:dyDescent="0.25">
      <c r="A24" t="s">
        <v>162</v>
      </c>
      <c r="B24" s="5"/>
      <c r="C24" s="5"/>
      <c r="E24">
        <f t="shared" si="0"/>
        <v>0</v>
      </c>
    </row>
    <row r="25" spans="1:5" x14ac:dyDescent="0.25">
      <c r="A25" t="s">
        <v>160</v>
      </c>
      <c r="B25" s="4">
        <v>17.395</v>
      </c>
      <c r="C25">
        <v>25.1175</v>
      </c>
      <c r="E25">
        <f t="shared" si="0"/>
        <v>7.7225000000000001</v>
      </c>
    </row>
    <row r="26" spans="1:5" x14ac:dyDescent="0.25">
      <c r="A26" t="s">
        <v>173</v>
      </c>
      <c r="B26">
        <v>17.935499999999998</v>
      </c>
      <c r="C26">
        <v>23.166</v>
      </c>
      <c r="E26">
        <f t="shared" si="0"/>
        <v>5.2305000000000028</v>
      </c>
    </row>
    <row r="27" spans="1:5" x14ac:dyDescent="0.25">
      <c r="A27" t="s">
        <v>174</v>
      </c>
      <c r="B27" s="41">
        <v>26.800999999999998</v>
      </c>
      <c r="C27" s="41">
        <v>22.312000000000001</v>
      </c>
      <c r="E27">
        <f t="shared" si="0"/>
        <v>-4.4889999999999972</v>
      </c>
    </row>
    <row r="28" spans="1:5" x14ac:dyDescent="0.25">
      <c r="A28" t="s">
        <v>175</v>
      </c>
      <c r="B28" s="41">
        <v>37.347000000000001</v>
      </c>
      <c r="C28" s="41">
        <v>45.247999999999998</v>
      </c>
      <c r="E28">
        <f t="shared" si="0"/>
        <v>7.9009999999999962</v>
      </c>
    </row>
    <row r="29" spans="1:5" x14ac:dyDescent="0.25">
      <c r="A29" t="s">
        <v>187</v>
      </c>
      <c r="B29" s="41">
        <v>49.265999999999998</v>
      </c>
      <c r="C29" s="41">
        <v>35.722999999999999</v>
      </c>
      <c r="E29">
        <f t="shared" si="0"/>
        <v>-13.542999999999999</v>
      </c>
    </row>
    <row r="30" spans="1:5" x14ac:dyDescent="0.25">
      <c r="A30" t="s">
        <v>186</v>
      </c>
      <c r="B30" s="41">
        <v>6.6470000000000002</v>
      </c>
      <c r="C30" s="41">
        <v>6.9329999999999998</v>
      </c>
      <c r="E30">
        <f t="shared" si="0"/>
        <v>0.28599999999999959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19.5215</v>
      </c>
      <c r="C33">
        <v>17.106000000000002</v>
      </c>
      <c r="E33">
        <f t="shared" si="0"/>
        <v>-2.415499999999998</v>
      </c>
    </row>
    <row r="34" spans="1:5" x14ac:dyDescent="0.25">
      <c r="A34" t="s">
        <v>13</v>
      </c>
      <c r="B34">
        <v>13.446999999999999</v>
      </c>
      <c r="C34">
        <v>16.779</v>
      </c>
      <c r="E34">
        <f t="shared" si="0"/>
        <v>3.3320000000000007</v>
      </c>
    </row>
    <row r="35" spans="1:5" x14ac:dyDescent="0.25">
      <c r="A35" t="s">
        <v>68</v>
      </c>
      <c r="B35">
        <v>6.5904999999999996</v>
      </c>
      <c r="C35">
        <v>13.245999999999999</v>
      </c>
      <c r="E35">
        <f t="shared" si="0"/>
        <v>6.6554999999999991</v>
      </c>
    </row>
    <row r="36" spans="1:5" x14ac:dyDescent="0.25">
      <c r="A36" t="s">
        <v>69</v>
      </c>
      <c r="B36">
        <v>17.0275</v>
      </c>
      <c r="C36">
        <v>18.3125</v>
      </c>
      <c r="E36">
        <f t="shared" si="0"/>
        <v>1.2850000000000001</v>
      </c>
    </row>
    <row r="37" spans="1:5" x14ac:dyDescent="0.25">
      <c r="A37" t="s">
        <v>70</v>
      </c>
      <c r="B37">
        <v>12.287000000000001</v>
      </c>
      <c r="C37">
        <v>20.460999999999999</v>
      </c>
      <c r="E37">
        <f t="shared" si="0"/>
        <v>8.1739999999999977</v>
      </c>
    </row>
    <row r="38" spans="1:5" x14ac:dyDescent="0.25">
      <c r="A38" t="s">
        <v>74</v>
      </c>
      <c r="B38">
        <v>15.709499999999998</v>
      </c>
      <c r="C38">
        <v>19.701000000000001</v>
      </c>
      <c r="E38">
        <f t="shared" si="0"/>
        <v>3.991500000000002</v>
      </c>
    </row>
    <row r="39" spans="1:5" x14ac:dyDescent="0.25">
      <c r="A39" t="s">
        <v>79</v>
      </c>
      <c r="B39" s="5"/>
      <c r="C39" s="5"/>
      <c r="E39">
        <f t="shared" si="0"/>
        <v>0</v>
      </c>
    </row>
    <row r="40" spans="1:5" x14ac:dyDescent="0.25">
      <c r="A40" t="s">
        <v>80</v>
      </c>
      <c r="B40">
        <v>15.201999999999998</v>
      </c>
      <c r="C40">
        <v>18.111499999999999</v>
      </c>
      <c r="E40">
        <f t="shared" si="0"/>
        <v>2.9095000000000013</v>
      </c>
    </row>
    <row r="41" spans="1:5" x14ac:dyDescent="0.25">
      <c r="A41" t="s">
        <v>86</v>
      </c>
      <c r="B41">
        <v>17.0625</v>
      </c>
      <c r="C41">
        <v>22.585000000000001</v>
      </c>
      <c r="E41">
        <f t="shared" si="0"/>
        <v>5.5225000000000009</v>
      </c>
    </row>
    <row r="42" spans="1:5" x14ac:dyDescent="0.25">
      <c r="A42" t="s">
        <v>92</v>
      </c>
      <c r="B42" s="5"/>
      <c r="C42" s="5"/>
      <c r="E42">
        <f t="shared" si="0"/>
        <v>0</v>
      </c>
    </row>
    <row r="43" spans="1:5" x14ac:dyDescent="0.25">
      <c r="A43" t="s">
        <v>93</v>
      </c>
      <c r="B43">
        <v>27.2315</v>
      </c>
      <c r="C43">
        <v>18.0595</v>
      </c>
      <c r="E43">
        <f t="shared" si="0"/>
        <v>-9.1720000000000006</v>
      </c>
    </row>
    <row r="44" spans="1:5" x14ac:dyDescent="0.25">
      <c r="A44" t="s">
        <v>110</v>
      </c>
      <c r="B44">
        <v>13.6585</v>
      </c>
      <c r="C44">
        <v>16.384</v>
      </c>
      <c r="E44">
        <f t="shared" si="0"/>
        <v>2.7255000000000003</v>
      </c>
    </row>
    <row r="45" spans="1:5" x14ac:dyDescent="0.25">
      <c r="A45" t="s">
        <v>120</v>
      </c>
      <c r="B45">
        <v>7.5924999999999994</v>
      </c>
      <c r="C45">
        <v>18.651499999999999</v>
      </c>
      <c r="E45">
        <f t="shared" si="0"/>
        <v>11.058999999999999</v>
      </c>
    </row>
    <row r="46" spans="1:5" x14ac:dyDescent="0.25">
      <c r="A46" t="s">
        <v>125</v>
      </c>
      <c r="B46" s="5"/>
      <c r="C46" s="5"/>
      <c r="E46">
        <f t="shared" si="0"/>
        <v>0</v>
      </c>
    </row>
    <row r="47" spans="1:5" x14ac:dyDescent="0.25">
      <c r="A47" t="s">
        <v>130</v>
      </c>
      <c r="B47">
        <v>8.1790000000000003</v>
      </c>
      <c r="C47">
        <v>11.126999999999999</v>
      </c>
      <c r="E47">
        <f t="shared" si="0"/>
        <v>2.9479999999999986</v>
      </c>
    </row>
    <row r="48" spans="1:5" x14ac:dyDescent="0.25">
      <c r="A48" t="s">
        <v>145</v>
      </c>
      <c r="B48">
        <v>12.019</v>
      </c>
      <c r="C48">
        <v>3.68</v>
      </c>
      <c r="E48">
        <f t="shared" si="0"/>
        <v>-8.3390000000000004</v>
      </c>
    </row>
    <row r="49" spans="1:5" x14ac:dyDescent="0.25">
      <c r="A49" t="s">
        <v>144</v>
      </c>
      <c r="B49" s="5"/>
      <c r="C49" s="5"/>
      <c r="E49">
        <f t="shared" si="0"/>
        <v>0</v>
      </c>
    </row>
    <row r="50" spans="1:5" x14ac:dyDescent="0.25">
      <c r="A50" t="s">
        <v>132</v>
      </c>
      <c r="B50">
        <v>9.1225000000000005</v>
      </c>
      <c r="C50">
        <v>10.942</v>
      </c>
      <c r="E50">
        <f t="shared" si="0"/>
        <v>1.8194999999999997</v>
      </c>
    </row>
    <row r="51" spans="1:5" x14ac:dyDescent="0.25">
      <c r="A51" t="s">
        <v>146</v>
      </c>
      <c r="B51">
        <v>19.526499999999999</v>
      </c>
      <c r="C51">
        <v>8.347999999999999</v>
      </c>
      <c r="E51">
        <f t="shared" si="0"/>
        <v>-11.1785</v>
      </c>
    </row>
    <row r="52" spans="1:5" x14ac:dyDescent="0.25">
      <c r="A52" t="s">
        <v>147</v>
      </c>
      <c r="B52">
        <v>11.766999999999999</v>
      </c>
      <c r="C52">
        <v>10.368500000000001</v>
      </c>
      <c r="E52">
        <f t="shared" si="0"/>
        <v>-1.3984999999999985</v>
      </c>
    </row>
    <row r="53" spans="1:5" x14ac:dyDescent="0.25">
      <c r="A53" t="s">
        <v>155</v>
      </c>
      <c r="B53">
        <v>9.1385000000000005</v>
      </c>
      <c r="C53">
        <v>19.097999999999999</v>
      </c>
      <c r="E53">
        <f t="shared" si="0"/>
        <v>9.9594999999999985</v>
      </c>
    </row>
    <row r="54" spans="1:5" x14ac:dyDescent="0.25">
      <c r="A54" t="s">
        <v>158</v>
      </c>
      <c r="B54" s="4">
        <v>7.7134999999999998</v>
      </c>
      <c r="C54">
        <v>16.533000000000001</v>
      </c>
      <c r="E54">
        <f t="shared" si="0"/>
        <v>8.8195000000000014</v>
      </c>
    </row>
    <row r="55" spans="1:5" x14ac:dyDescent="0.25">
      <c r="A55" t="s">
        <v>162</v>
      </c>
      <c r="B55" s="5"/>
      <c r="C55" s="5"/>
      <c r="E55">
        <f t="shared" si="0"/>
        <v>0</v>
      </c>
    </row>
    <row r="56" spans="1:5" x14ac:dyDescent="0.25">
      <c r="A56" t="s">
        <v>160</v>
      </c>
      <c r="B56" s="22">
        <v>26.997999999999998</v>
      </c>
      <c r="C56" s="22">
        <v>11.2615</v>
      </c>
      <c r="E56">
        <f t="shared" si="0"/>
        <v>-15.736499999999998</v>
      </c>
    </row>
    <row r="57" spans="1:5" x14ac:dyDescent="0.25">
      <c r="A57" t="s">
        <v>173</v>
      </c>
      <c r="B57" s="22">
        <v>12.138</v>
      </c>
      <c r="C57" s="22">
        <v>21.402999999999999</v>
      </c>
      <c r="E57">
        <f t="shared" si="0"/>
        <v>9.2649999999999988</v>
      </c>
    </row>
    <row r="58" spans="1:5" x14ac:dyDescent="0.25">
      <c r="A58" t="s">
        <v>174</v>
      </c>
      <c r="B58" s="41">
        <v>23.42</v>
      </c>
      <c r="C58" s="41">
        <v>22.713999999999999</v>
      </c>
      <c r="E58">
        <f t="shared" si="0"/>
        <v>-0.70600000000000307</v>
      </c>
    </row>
    <row r="59" spans="1:5" x14ac:dyDescent="0.25">
      <c r="A59" t="s">
        <v>175</v>
      </c>
      <c r="B59" s="41">
        <v>43.137</v>
      </c>
      <c r="C59" s="41">
        <v>41.942</v>
      </c>
      <c r="E59">
        <f t="shared" si="0"/>
        <v>-1.1950000000000003</v>
      </c>
    </row>
    <row r="60" spans="1:5" x14ac:dyDescent="0.25">
      <c r="A60" t="s">
        <v>187</v>
      </c>
      <c r="B60" s="41">
        <v>40.454000000000001</v>
      </c>
      <c r="C60" s="41">
        <v>36.390999999999998</v>
      </c>
      <c r="E60">
        <f t="shared" si="0"/>
        <v>-4.0630000000000024</v>
      </c>
    </row>
    <row r="61" spans="1:5" x14ac:dyDescent="0.25">
      <c r="A61" t="s">
        <v>186</v>
      </c>
      <c r="B61" s="41">
        <v>8.0190000000000001</v>
      </c>
      <c r="C61" s="41">
        <v>16.126000000000001</v>
      </c>
      <c r="E61">
        <f t="shared" si="0"/>
        <v>8.1070000000000011</v>
      </c>
    </row>
    <row r="62" spans="1:5" x14ac:dyDescent="0.25">
      <c r="B62" s="22"/>
      <c r="C62" s="22"/>
    </row>
    <row r="63" spans="1:5" x14ac:dyDescent="0.25">
      <c r="B63" s="22"/>
      <c r="C63" s="22"/>
    </row>
    <row r="64" spans="1:5" x14ac:dyDescent="0.25">
      <c r="B64" s="22"/>
      <c r="C64" s="22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35"/>
  <sheetViews>
    <sheetView zoomScale="55" zoomScaleNormal="55" workbookViewId="0">
      <selection activeCell="Q36" sqref="Q36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33.384</v>
      </c>
      <c r="C2">
        <v>37.558</v>
      </c>
      <c r="E2">
        <f>C2-B2</f>
        <v>4.1739999999999995</v>
      </c>
    </row>
    <row r="3" spans="1:5" x14ac:dyDescent="0.25">
      <c r="A3" t="s">
        <v>68</v>
      </c>
      <c r="B3" s="36">
        <v>741.22</v>
      </c>
      <c r="C3" s="36">
        <v>1086.0999999999999</v>
      </c>
    </row>
    <row r="4" spans="1:5" x14ac:dyDescent="0.25">
      <c r="A4" t="s">
        <v>69</v>
      </c>
      <c r="B4">
        <v>643.03</v>
      </c>
      <c r="C4">
        <v>1366.4</v>
      </c>
      <c r="E4">
        <f t="shared" ref="E4:E31" si="0">C4-B4</f>
        <v>723.37000000000012</v>
      </c>
    </row>
    <row r="5" spans="1:5" x14ac:dyDescent="0.25">
      <c r="A5" t="s">
        <v>80</v>
      </c>
      <c r="B5">
        <v>232.35</v>
      </c>
      <c r="C5">
        <v>530.05999999999995</v>
      </c>
      <c r="E5">
        <f t="shared" si="0"/>
        <v>297.70999999999992</v>
      </c>
    </row>
    <row r="6" spans="1:5" x14ac:dyDescent="0.25">
      <c r="A6" t="s">
        <v>93</v>
      </c>
      <c r="B6">
        <v>1243.4000000000001</v>
      </c>
      <c r="C6">
        <v>1137.9000000000001</v>
      </c>
      <c r="E6">
        <f t="shared" si="0"/>
        <v>-105.5</v>
      </c>
    </row>
    <row r="7" spans="1:5" x14ac:dyDescent="0.25">
      <c r="A7" t="s">
        <v>120</v>
      </c>
      <c r="B7">
        <v>928.7</v>
      </c>
      <c r="C7">
        <v>742.67</v>
      </c>
      <c r="E7">
        <f t="shared" si="0"/>
        <v>-186.03000000000009</v>
      </c>
    </row>
    <row r="8" spans="1:5" x14ac:dyDescent="0.25">
      <c r="A8" t="s">
        <v>130</v>
      </c>
      <c r="B8">
        <v>104.56</v>
      </c>
      <c r="C8">
        <v>171.08</v>
      </c>
      <c r="E8">
        <f t="shared" si="0"/>
        <v>66.52000000000001</v>
      </c>
    </row>
    <row r="9" spans="1:5" x14ac:dyDescent="0.25">
      <c r="A9" t="s">
        <v>146</v>
      </c>
      <c r="B9">
        <v>1094.5999999999999</v>
      </c>
      <c r="C9">
        <v>892.62</v>
      </c>
      <c r="E9">
        <f t="shared" si="0"/>
        <v>-201.9799999999999</v>
      </c>
    </row>
    <row r="10" spans="1:5" x14ac:dyDescent="0.25">
      <c r="A10" t="s">
        <v>147</v>
      </c>
      <c r="B10">
        <v>520.30999999999995</v>
      </c>
      <c r="C10">
        <v>400.4</v>
      </c>
      <c r="E10">
        <f t="shared" si="0"/>
        <v>-119.90999999999997</v>
      </c>
    </row>
    <row r="11" spans="1:5" x14ac:dyDescent="0.25">
      <c r="A11" t="s">
        <v>158</v>
      </c>
      <c r="B11">
        <v>1541.6</v>
      </c>
      <c r="C11">
        <v>978.73</v>
      </c>
      <c r="E11">
        <f t="shared" si="0"/>
        <v>-562.86999999999989</v>
      </c>
    </row>
    <row r="12" spans="1:5" x14ac:dyDescent="0.25">
      <c r="A12" t="s">
        <v>160</v>
      </c>
      <c r="B12">
        <v>1941.6</v>
      </c>
      <c r="C12">
        <v>2806</v>
      </c>
      <c r="E12">
        <f t="shared" si="0"/>
        <v>864.40000000000009</v>
      </c>
    </row>
    <row r="13" spans="1:5" x14ac:dyDescent="0.25">
      <c r="A13" t="s">
        <v>173</v>
      </c>
      <c r="B13">
        <v>598.89</v>
      </c>
      <c r="C13">
        <v>896.89</v>
      </c>
      <c r="E13">
        <f t="shared" si="0"/>
        <v>298</v>
      </c>
    </row>
    <row r="14" spans="1:5" x14ac:dyDescent="0.25">
      <c r="A14" t="s">
        <v>174</v>
      </c>
      <c r="B14">
        <v>166.6396</v>
      </c>
      <c r="C14">
        <v>192.36</v>
      </c>
      <c r="E14">
        <f t="shared" si="0"/>
        <v>25.720400000000012</v>
      </c>
    </row>
    <row r="15" spans="1:5" x14ac:dyDescent="0.25">
      <c r="A15" t="s">
        <v>175</v>
      </c>
      <c r="B15">
        <v>2384.6559999999999</v>
      </c>
      <c r="C15">
        <v>2665.9319999999998</v>
      </c>
      <c r="E15">
        <f t="shared" si="0"/>
        <v>281.27599999999984</v>
      </c>
    </row>
    <row r="16" spans="1:5" x14ac:dyDescent="0.25">
      <c r="D16" s="25"/>
      <c r="E16" s="25"/>
    </row>
    <row r="17" spans="1:10" s="25" customFormat="1" x14ac:dyDescent="0.25">
      <c r="A17" s="25" t="s">
        <v>1</v>
      </c>
      <c r="I17"/>
      <c r="J17"/>
    </row>
    <row r="18" spans="1:10" x14ac:dyDescent="0.25">
      <c r="A18" t="s">
        <v>3</v>
      </c>
      <c r="B18">
        <v>25.722000000000001</v>
      </c>
      <c r="C18">
        <v>61.965000000000003</v>
      </c>
      <c r="E18">
        <f t="shared" si="0"/>
        <v>36.243000000000002</v>
      </c>
    </row>
    <row r="19" spans="1:10" x14ac:dyDescent="0.25">
      <c r="A19" t="s">
        <v>68</v>
      </c>
      <c r="B19" s="36"/>
      <c r="C19" s="36">
        <v>524.27</v>
      </c>
    </row>
    <row r="20" spans="1:10" x14ac:dyDescent="0.25">
      <c r="A20" t="s">
        <v>69</v>
      </c>
      <c r="B20">
        <v>1182.5</v>
      </c>
      <c r="C20">
        <v>1361.9</v>
      </c>
      <c r="E20">
        <f t="shared" si="0"/>
        <v>179.40000000000009</v>
      </c>
    </row>
    <row r="21" spans="1:10" x14ac:dyDescent="0.25">
      <c r="A21" t="s">
        <v>80</v>
      </c>
      <c r="B21">
        <v>193.56</v>
      </c>
      <c r="C21">
        <v>565.15</v>
      </c>
      <c r="E21">
        <f t="shared" si="0"/>
        <v>371.59</v>
      </c>
    </row>
    <row r="22" spans="1:10" x14ac:dyDescent="0.25">
      <c r="A22" t="s">
        <v>93</v>
      </c>
      <c r="B22">
        <v>1123.2</v>
      </c>
      <c r="C22">
        <v>1385.1</v>
      </c>
      <c r="E22">
        <f t="shared" si="0"/>
        <v>261.89999999999986</v>
      </c>
    </row>
    <row r="23" spans="1:10" x14ac:dyDescent="0.25">
      <c r="A23" t="s">
        <v>120</v>
      </c>
      <c r="B23">
        <v>860.86</v>
      </c>
      <c r="C23">
        <v>391.78</v>
      </c>
      <c r="E23">
        <f t="shared" si="0"/>
        <v>-469.08000000000004</v>
      </c>
    </row>
    <row r="24" spans="1:10" x14ac:dyDescent="0.25">
      <c r="A24" t="s">
        <v>130</v>
      </c>
      <c r="B24">
        <v>162.56</v>
      </c>
      <c r="C24">
        <v>217.64</v>
      </c>
      <c r="E24">
        <f t="shared" si="0"/>
        <v>55.079999999999984</v>
      </c>
    </row>
    <row r="25" spans="1:10" x14ac:dyDescent="0.25">
      <c r="A25" t="s">
        <v>146</v>
      </c>
      <c r="B25">
        <v>1156.3</v>
      </c>
      <c r="C25">
        <v>837.03</v>
      </c>
      <c r="E25">
        <f t="shared" si="0"/>
        <v>-319.27</v>
      </c>
    </row>
    <row r="26" spans="1:10" x14ac:dyDescent="0.25">
      <c r="A26" t="s">
        <v>147</v>
      </c>
      <c r="B26">
        <v>257.66000000000003</v>
      </c>
      <c r="C26">
        <v>362</v>
      </c>
      <c r="E26">
        <f t="shared" si="0"/>
        <v>104.33999999999997</v>
      </c>
    </row>
    <row r="27" spans="1:10" x14ac:dyDescent="0.25">
      <c r="A27" t="s">
        <v>158</v>
      </c>
      <c r="B27">
        <v>379.09</v>
      </c>
      <c r="C27">
        <v>880.85</v>
      </c>
      <c r="E27">
        <f t="shared" si="0"/>
        <v>501.76000000000005</v>
      </c>
    </row>
    <row r="28" spans="1:10" x14ac:dyDescent="0.25">
      <c r="A28" t="s">
        <v>160</v>
      </c>
      <c r="B28">
        <v>1551.7</v>
      </c>
      <c r="C28">
        <v>1459.8</v>
      </c>
      <c r="E28">
        <f t="shared" si="0"/>
        <v>-91.900000000000091</v>
      </c>
    </row>
    <row r="29" spans="1:10" x14ac:dyDescent="0.25">
      <c r="A29" t="s">
        <v>173</v>
      </c>
      <c r="B29">
        <v>950.83</v>
      </c>
      <c r="C29">
        <v>667.2</v>
      </c>
      <c r="E29">
        <f t="shared" si="0"/>
        <v>-283.63</v>
      </c>
    </row>
    <row r="30" spans="1:10" x14ac:dyDescent="0.25">
      <c r="A30" t="s">
        <v>174</v>
      </c>
      <c r="B30">
        <v>112.6164</v>
      </c>
      <c r="C30">
        <v>151.24430000000001</v>
      </c>
      <c r="E30">
        <f t="shared" si="0"/>
        <v>38.627900000000011</v>
      </c>
    </row>
    <row r="31" spans="1:10" x14ac:dyDescent="0.25">
      <c r="A31" t="s">
        <v>175</v>
      </c>
      <c r="B31">
        <v>2763.1680000000001</v>
      </c>
      <c r="C31">
        <v>2475.7260000000001</v>
      </c>
      <c r="E31">
        <f t="shared" si="0"/>
        <v>-287.44200000000001</v>
      </c>
    </row>
    <row r="32" spans="1:10" x14ac:dyDescent="0.25">
      <c r="D32" s="25"/>
      <c r="E32" s="25"/>
    </row>
    <row r="33" spans="4:5" x14ac:dyDescent="0.25">
      <c r="D33" s="25"/>
      <c r="E33" s="25"/>
    </row>
    <row r="35" spans="4:5" x14ac:dyDescent="0.25">
      <c r="D35" s="25"/>
      <c r="E35" s="37"/>
    </row>
  </sheetData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6"/>
  <sheetViews>
    <sheetView zoomScale="85" zoomScaleNormal="85" workbookViewId="0">
      <selection activeCell="G22" sqref="G22"/>
    </sheetView>
  </sheetViews>
  <sheetFormatPr defaultRowHeight="15" x14ac:dyDescent="0.25"/>
  <sheetData>
    <row r="1" spans="1:13" x14ac:dyDescent="0.25">
      <c r="A1" s="25" t="s">
        <v>0</v>
      </c>
      <c r="B1" s="25" t="s">
        <v>4</v>
      </c>
      <c r="C1" s="25" t="s">
        <v>2</v>
      </c>
      <c r="D1" s="25"/>
      <c r="E1" s="25" t="s">
        <v>85</v>
      </c>
    </row>
    <row r="2" spans="1:13" x14ac:dyDescent="0.25">
      <c r="A2" t="s">
        <v>3</v>
      </c>
      <c r="B2">
        <v>81.2</v>
      </c>
      <c r="C2">
        <v>82.3</v>
      </c>
      <c r="E2">
        <f>C2-B2</f>
        <v>1.0999999999999943</v>
      </c>
    </row>
    <row r="3" spans="1:13" x14ac:dyDescent="0.25">
      <c r="A3" t="s">
        <v>13</v>
      </c>
      <c r="B3">
        <v>68.599999999999994</v>
      </c>
      <c r="C3">
        <v>70</v>
      </c>
      <c r="E3">
        <f t="shared" ref="E3:E62" si="0">C3-B3</f>
        <v>1.4000000000000057</v>
      </c>
    </row>
    <row r="4" spans="1:13" x14ac:dyDescent="0.25">
      <c r="A4" t="s">
        <v>68</v>
      </c>
      <c r="B4">
        <v>66.599999999999994</v>
      </c>
      <c r="C4">
        <v>67.099999999999994</v>
      </c>
      <c r="E4">
        <f t="shared" si="0"/>
        <v>0.5</v>
      </c>
    </row>
    <row r="5" spans="1:13" x14ac:dyDescent="0.25">
      <c r="A5" t="s">
        <v>69</v>
      </c>
      <c r="B5">
        <v>71.400000000000006</v>
      </c>
      <c r="C5">
        <v>70.599999999999994</v>
      </c>
      <c r="E5">
        <f t="shared" si="0"/>
        <v>-0.80000000000001137</v>
      </c>
      <c r="M5" s="3"/>
    </row>
    <row r="6" spans="1:13" x14ac:dyDescent="0.25">
      <c r="A6" t="s">
        <v>70</v>
      </c>
      <c r="B6">
        <v>65.5</v>
      </c>
      <c r="C6" s="3">
        <v>66.3</v>
      </c>
      <c r="E6">
        <f t="shared" si="0"/>
        <v>0.79999999999999716</v>
      </c>
    </row>
    <row r="7" spans="1:13" x14ac:dyDescent="0.25">
      <c r="A7" t="s">
        <v>74</v>
      </c>
      <c r="B7">
        <v>67.099999999999994</v>
      </c>
      <c r="C7">
        <v>67.2</v>
      </c>
      <c r="E7">
        <f t="shared" si="0"/>
        <v>0.10000000000000853</v>
      </c>
    </row>
    <row r="8" spans="1:13" x14ac:dyDescent="0.25">
      <c r="A8" t="s">
        <v>79</v>
      </c>
      <c r="B8">
        <v>59.9</v>
      </c>
      <c r="C8">
        <v>59.4</v>
      </c>
      <c r="E8">
        <f t="shared" si="0"/>
        <v>-0.5</v>
      </c>
    </row>
    <row r="9" spans="1:13" x14ac:dyDescent="0.25">
      <c r="A9" t="s">
        <v>80</v>
      </c>
      <c r="B9">
        <v>72.400000000000006</v>
      </c>
      <c r="C9">
        <v>72.099999999999994</v>
      </c>
      <c r="E9">
        <f t="shared" si="0"/>
        <v>-0.30000000000001137</v>
      </c>
    </row>
    <row r="10" spans="1:13" x14ac:dyDescent="0.25">
      <c r="A10" t="s">
        <v>86</v>
      </c>
      <c r="B10">
        <v>59.6</v>
      </c>
      <c r="C10">
        <v>59.3</v>
      </c>
      <c r="E10">
        <f t="shared" si="0"/>
        <v>-0.30000000000000426</v>
      </c>
    </row>
    <row r="11" spans="1:13" x14ac:dyDescent="0.25">
      <c r="A11" t="s">
        <v>92</v>
      </c>
      <c r="B11">
        <v>55.6</v>
      </c>
      <c r="C11">
        <v>56.4</v>
      </c>
      <c r="E11">
        <f t="shared" si="0"/>
        <v>0.79999999999999716</v>
      </c>
    </row>
    <row r="12" spans="1:13" x14ac:dyDescent="0.25">
      <c r="A12" t="s">
        <v>93</v>
      </c>
      <c r="B12">
        <v>81.400000000000006</v>
      </c>
      <c r="C12">
        <v>79.7</v>
      </c>
      <c r="E12">
        <f t="shared" si="0"/>
        <v>-1.7000000000000028</v>
      </c>
    </row>
    <row r="13" spans="1:13" x14ac:dyDescent="0.25">
      <c r="A13" t="s">
        <v>110</v>
      </c>
      <c r="B13">
        <v>86.3</v>
      </c>
      <c r="C13">
        <v>84.5</v>
      </c>
      <c r="E13">
        <f t="shared" si="0"/>
        <v>-1.7999999999999972</v>
      </c>
    </row>
    <row r="14" spans="1:13" x14ac:dyDescent="0.25">
      <c r="A14" t="s">
        <v>120</v>
      </c>
      <c r="B14">
        <v>71.5</v>
      </c>
      <c r="C14" s="3">
        <f>(71.5+71.5+71.4+71.3)/4</f>
        <v>71.424999999999997</v>
      </c>
      <c r="E14" s="3">
        <f t="shared" si="0"/>
        <v>-7.5000000000002842E-2</v>
      </c>
    </row>
    <row r="15" spans="1:13" x14ac:dyDescent="0.25">
      <c r="A15" t="s">
        <v>125</v>
      </c>
      <c r="B15">
        <v>44.8</v>
      </c>
      <c r="C15">
        <v>45.7</v>
      </c>
      <c r="E15">
        <f t="shared" si="0"/>
        <v>0.90000000000000568</v>
      </c>
      <c r="M15" s="3"/>
    </row>
    <row r="16" spans="1:13" x14ac:dyDescent="0.25">
      <c r="A16" t="s">
        <v>130</v>
      </c>
      <c r="B16">
        <v>59.5</v>
      </c>
      <c r="C16">
        <v>60.2</v>
      </c>
      <c r="E16">
        <f t="shared" si="0"/>
        <v>0.70000000000000284</v>
      </c>
    </row>
    <row r="17" spans="1:5" x14ac:dyDescent="0.25">
      <c r="A17" t="s">
        <v>145</v>
      </c>
      <c r="B17">
        <v>61.2</v>
      </c>
      <c r="C17">
        <v>60.4</v>
      </c>
      <c r="E17">
        <f t="shared" si="0"/>
        <v>-0.80000000000000426</v>
      </c>
    </row>
    <row r="18" spans="1:5" x14ac:dyDescent="0.25">
      <c r="A18" t="s">
        <v>144</v>
      </c>
      <c r="B18">
        <v>71.900000000000006</v>
      </c>
      <c r="C18">
        <v>71.400000000000006</v>
      </c>
      <c r="E18">
        <f t="shared" si="0"/>
        <v>-0.5</v>
      </c>
    </row>
    <row r="19" spans="1:5" x14ac:dyDescent="0.25">
      <c r="A19" t="s">
        <v>132</v>
      </c>
      <c r="B19">
        <v>65.599999999999994</v>
      </c>
      <c r="C19">
        <v>66.099999999999994</v>
      </c>
      <c r="E19">
        <f t="shared" si="0"/>
        <v>0.5</v>
      </c>
    </row>
    <row r="20" spans="1:5" x14ac:dyDescent="0.25">
      <c r="A20" t="s">
        <v>146</v>
      </c>
      <c r="B20">
        <v>81.900000000000006</v>
      </c>
      <c r="C20">
        <v>81.7</v>
      </c>
      <c r="E20">
        <f t="shared" si="0"/>
        <v>-0.20000000000000284</v>
      </c>
    </row>
    <row r="21" spans="1:5" x14ac:dyDescent="0.25">
      <c r="A21" t="s">
        <v>147</v>
      </c>
      <c r="B21">
        <v>51.4</v>
      </c>
      <c r="C21">
        <v>51.9</v>
      </c>
      <c r="E21">
        <f t="shared" si="0"/>
        <v>0.5</v>
      </c>
    </row>
    <row r="22" spans="1:5" x14ac:dyDescent="0.25">
      <c r="A22" t="s">
        <v>155</v>
      </c>
      <c r="B22">
        <v>65.2</v>
      </c>
      <c r="C22">
        <v>66.599999999999994</v>
      </c>
      <c r="E22">
        <f t="shared" si="0"/>
        <v>1.3999999999999915</v>
      </c>
    </row>
    <row r="23" spans="1:5" x14ac:dyDescent="0.25">
      <c r="A23" t="s">
        <v>158</v>
      </c>
      <c r="B23">
        <v>71</v>
      </c>
      <c r="C23">
        <v>71.400000000000006</v>
      </c>
      <c r="E23">
        <f t="shared" si="0"/>
        <v>0.40000000000000568</v>
      </c>
    </row>
    <row r="24" spans="1:5" x14ac:dyDescent="0.25">
      <c r="A24" t="s">
        <v>162</v>
      </c>
      <c r="B24">
        <v>112.2</v>
      </c>
      <c r="C24">
        <v>113.2</v>
      </c>
      <c r="E24">
        <f t="shared" si="0"/>
        <v>1</v>
      </c>
    </row>
    <row r="25" spans="1:5" x14ac:dyDescent="0.25">
      <c r="A25" t="s">
        <v>160</v>
      </c>
      <c r="B25">
        <v>102.1</v>
      </c>
      <c r="C25">
        <v>104.2</v>
      </c>
      <c r="E25">
        <f t="shared" si="0"/>
        <v>2.1000000000000085</v>
      </c>
    </row>
    <row r="26" spans="1:5" x14ac:dyDescent="0.25">
      <c r="A26" t="s">
        <v>173</v>
      </c>
      <c r="B26">
        <v>69.900000000000006</v>
      </c>
      <c r="C26">
        <v>70.599999999999994</v>
      </c>
      <c r="E26">
        <f t="shared" si="0"/>
        <v>0.69999999999998863</v>
      </c>
    </row>
    <row r="27" spans="1:5" x14ac:dyDescent="0.25">
      <c r="A27" t="s">
        <v>174</v>
      </c>
      <c r="B27">
        <v>87.6</v>
      </c>
      <c r="C27">
        <v>87.4</v>
      </c>
      <c r="E27">
        <f t="shared" si="0"/>
        <v>-0.19999999999998863</v>
      </c>
    </row>
    <row r="28" spans="1:5" x14ac:dyDescent="0.25">
      <c r="A28" t="s">
        <v>175</v>
      </c>
      <c r="B28">
        <v>100.6</v>
      </c>
      <c r="C28">
        <v>99.9</v>
      </c>
      <c r="E28">
        <f t="shared" si="0"/>
        <v>-0.69999999999998863</v>
      </c>
    </row>
    <row r="29" spans="1:5" x14ac:dyDescent="0.25">
      <c r="A29" t="s">
        <v>187</v>
      </c>
      <c r="B29">
        <v>73.900000000000006</v>
      </c>
      <c r="C29">
        <v>72.8</v>
      </c>
      <c r="E29">
        <f t="shared" si="0"/>
        <v>-1.1000000000000085</v>
      </c>
    </row>
    <row r="30" spans="1:5" x14ac:dyDescent="0.25">
      <c r="A30" t="s">
        <v>186</v>
      </c>
      <c r="B30">
        <v>80.7</v>
      </c>
      <c r="C30">
        <v>79.400000000000006</v>
      </c>
      <c r="E30">
        <f t="shared" si="0"/>
        <v>-1.2999999999999972</v>
      </c>
    </row>
    <row r="31" spans="1:5" s="25" customFormat="1" x14ac:dyDescent="0.25">
      <c r="B31" s="27"/>
      <c r="C31" s="27"/>
      <c r="D31"/>
      <c r="E31"/>
    </row>
    <row r="32" spans="1:5" x14ac:dyDescent="0.25">
      <c r="A32" s="25"/>
      <c r="B32" s="27"/>
      <c r="C32" s="27"/>
    </row>
    <row r="33" spans="1:5" x14ac:dyDescent="0.25">
      <c r="A33" s="25" t="s">
        <v>1</v>
      </c>
      <c r="B33" s="25"/>
      <c r="C33" s="25"/>
      <c r="D33" s="25"/>
      <c r="E33" s="25"/>
    </row>
    <row r="34" spans="1:5" x14ac:dyDescent="0.25">
      <c r="A34" t="s">
        <v>3</v>
      </c>
      <c r="B34">
        <v>82.1</v>
      </c>
      <c r="C34">
        <v>82.7</v>
      </c>
      <c r="E34">
        <f t="shared" si="0"/>
        <v>0.60000000000000853</v>
      </c>
    </row>
    <row r="35" spans="1:5" x14ac:dyDescent="0.25">
      <c r="A35" t="s">
        <v>13</v>
      </c>
      <c r="B35">
        <v>69.5</v>
      </c>
      <c r="C35">
        <v>68.599999999999994</v>
      </c>
      <c r="E35">
        <f t="shared" si="0"/>
        <v>-0.90000000000000568</v>
      </c>
    </row>
    <row r="36" spans="1:5" x14ac:dyDescent="0.25">
      <c r="A36" t="s">
        <v>68</v>
      </c>
      <c r="B36">
        <v>65.400000000000006</v>
      </c>
      <c r="C36">
        <v>65.8</v>
      </c>
      <c r="E36">
        <f t="shared" si="0"/>
        <v>0.39999999999999147</v>
      </c>
    </row>
    <row r="37" spans="1:5" x14ac:dyDescent="0.25">
      <c r="A37" t="s">
        <v>69</v>
      </c>
      <c r="B37" s="3">
        <v>71</v>
      </c>
      <c r="C37">
        <v>71.900000000000006</v>
      </c>
      <c r="E37">
        <f t="shared" si="0"/>
        <v>0.90000000000000568</v>
      </c>
    </row>
    <row r="38" spans="1:5" x14ac:dyDescent="0.25">
      <c r="A38" t="s">
        <v>70</v>
      </c>
      <c r="B38">
        <v>66</v>
      </c>
      <c r="C38">
        <v>65.400000000000006</v>
      </c>
      <c r="E38">
        <f t="shared" si="0"/>
        <v>-0.59999999999999432</v>
      </c>
    </row>
    <row r="39" spans="1:5" x14ac:dyDescent="0.25">
      <c r="A39" t="s">
        <v>74</v>
      </c>
      <c r="B39">
        <v>67.5</v>
      </c>
      <c r="C39">
        <v>66.599999999999994</v>
      </c>
      <c r="E39">
        <f t="shared" si="0"/>
        <v>-0.90000000000000568</v>
      </c>
    </row>
    <row r="40" spans="1:5" x14ac:dyDescent="0.25">
      <c r="A40" t="s">
        <v>79</v>
      </c>
      <c r="B40">
        <v>59.6</v>
      </c>
      <c r="C40">
        <v>59.8</v>
      </c>
      <c r="E40">
        <f t="shared" si="0"/>
        <v>0.19999999999999574</v>
      </c>
    </row>
    <row r="41" spans="1:5" x14ac:dyDescent="0.25">
      <c r="A41" t="s">
        <v>80</v>
      </c>
      <c r="B41">
        <v>70.400000000000006</v>
      </c>
      <c r="C41">
        <v>73.3</v>
      </c>
      <c r="E41">
        <f t="shared" si="0"/>
        <v>2.8999999999999915</v>
      </c>
    </row>
    <row r="42" spans="1:5" x14ac:dyDescent="0.25">
      <c r="A42" t="s">
        <v>86</v>
      </c>
      <c r="B42">
        <v>60.5</v>
      </c>
      <c r="C42">
        <v>58.7</v>
      </c>
      <c r="E42">
        <f t="shared" si="0"/>
        <v>-1.7999999999999972</v>
      </c>
    </row>
    <row r="43" spans="1:5" x14ac:dyDescent="0.25">
      <c r="A43" t="s">
        <v>92</v>
      </c>
      <c r="B43">
        <v>55.8</v>
      </c>
      <c r="C43">
        <v>56.3</v>
      </c>
      <c r="E43">
        <f t="shared" si="0"/>
        <v>0.5</v>
      </c>
    </row>
    <row r="44" spans="1:5" x14ac:dyDescent="0.25">
      <c r="A44" t="s">
        <v>93</v>
      </c>
      <c r="B44">
        <v>78.099999999999994</v>
      </c>
      <c r="C44">
        <v>77.900000000000006</v>
      </c>
      <c r="E44">
        <f t="shared" si="0"/>
        <v>-0.19999999999998863</v>
      </c>
    </row>
    <row r="45" spans="1:5" x14ac:dyDescent="0.25">
      <c r="A45" t="s">
        <v>110</v>
      </c>
      <c r="B45">
        <v>85.2</v>
      </c>
      <c r="C45">
        <v>84.6</v>
      </c>
      <c r="E45">
        <f t="shared" si="0"/>
        <v>-0.60000000000000853</v>
      </c>
    </row>
    <row r="46" spans="1:5" x14ac:dyDescent="0.25">
      <c r="A46" t="s">
        <v>120</v>
      </c>
      <c r="B46">
        <v>72.400000000000006</v>
      </c>
      <c r="C46">
        <v>71.400000000000006</v>
      </c>
      <c r="E46" s="3">
        <f t="shared" si="0"/>
        <v>-1</v>
      </c>
    </row>
    <row r="47" spans="1:5" x14ac:dyDescent="0.25">
      <c r="A47" t="s">
        <v>125</v>
      </c>
      <c r="B47" s="3">
        <v>44</v>
      </c>
      <c r="C47">
        <v>44.6</v>
      </c>
      <c r="E47">
        <f t="shared" si="0"/>
        <v>0.60000000000000142</v>
      </c>
    </row>
    <row r="48" spans="1:5" x14ac:dyDescent="0.25">
      <c r="A48" t="s">
        <v>130</v>
      </c>
      <c r="B48">
        <v>58.3</v>
      </c>
      <c r="C48">
        <v>59.1</v>
      </c>
      <c r="E48">
        <f t="shared" si="0"/>
        <v>0.80000000000000426</v>
      </c>
    </row>
    <row r="49" spans="1:5" x14ac:dyDescent="0.25">
      <c r="A49" t="s">
        <v>145</v>
      </c>
      <c r="B49">
        <v>59.7</v>
      </c>
      <c r="C49">
        <v>60.7</v>
      </c>
      <c r="E49">
        <f t="shared" si="0"/>
        <v>1</v>
      </c>
    </row>
    <row r="50" spans="1:5" x14ac:dyDescent="0.25">
      <c r="A50" t="s">
        <v>144</v>
      </c>
      <c r="B50">
        <v>69.900000000000006</v>
      </c>
      <c r="C50">
        <v>69.7</v>
      </c>
      <c r="E50">
        <f t="shared" si="0"/>
        <v>-0.20000000000000284</v>
      </c>
    </row>
    <row r="51" spans="1:5" x14ac:dyDescent="0.25">
      <c r="A51" t="s">
        <v>132</v>
      </c>
      <c r="B51">
        <v>66.2</v>
      </c>
      <c r="C51">
        <v>65.900000000000006</v>
      </c>
      <c r="E51">
        <f t="shared" si="0"/>
        <v>-0.29999999999999716</v>
      </c>
    </row>
    <row r="52" spans="1:5" x14ac:dyDescent="0.25">
      <c r="A52" t="s">
        <v>146</v>
      </c>
      <c r="B52">
        <v>81</v>
      </c>
      <c r="C52">
        <v>81.2</v>
      </c>
      <c r="E52">
        <f t="shared" si="0"/>
        <v>0.20000000000000284</v>
      </c>
    </row>
    <row r="53" spans="1:5" x14ac:dyDescent="0.25">
      <c r="A53" t="s">
        <v>147</v>
      </c>
      <c r="B53">
        <v>51.6</v>
      </c>
      <c r="C53">
        <v>51.4</v>
      </c>
      <c r="E53">
        <f t="shared" si="0"/>
        <v>-0.20000000000000284</v>
      </c>
    </row>
    <row r="54" spans="1:5" x14ac:dyDescent="0.25">
      <c r="A54" t="s">
        <v>155</v>
      </c>
      <c r="B54">
        <v>62.6</v>
      </c>
      <c r="C54">
        <v>64.099999999999994</v>
      </c>
      <c r="E54">
        <f t="shared" si="0"/>
        <v>1.4999999999999929</v>
      </c>
    </row>
    <row r="55" spans="1:5" x14ac:dyDescent="0.25">
      <c r="A55" t="s">
        <v>158</v>
      </c>
      <c r="B55">
        <v>71.2</v>
      </c>
      <c r="C55">
        <v>72.599999999999994</v>
      </c>
      <c r="E55">
        <f t="shared" si="0"/>
        <v>1.3999999999999915</v>
      </c>
    </row>
    <row r="56" spans="1:5" x14ac:dyDescent="0.25">
      <c r="A56" t="s">
        <v>162</v>
      </c>
      <c r="B56">
        <v>112.5</v>
      </c>
      <c r="C56">
        <v>111.6</v>
      </c>
      <c r="E56">
        <f t="shared" si="0"/>
        <v>-0.90000000000000568</v>
      </c>
    </row>
    <row r="57" spans="1:5" x14ac:dyDescent="0.25">
      <c r="A57" t="s">
        <v>160</v>
      </c>
      <c r="B57">
        <v>101.9</v>
      </c>
      <c r="C57">
        <v>101.9</v>
      </c>
      <c r="E57">
        <f t="shared" si="0"/>
        <v>0</v>
      </c>
    </row>
    <row r="58" spans="1:5" x14ac:dyDescent="0.25">
      <c r="A58" t="s">
        <v>173</v>
      </c>
      <c r="B58">
        <v>70.5</v>
      </c>
      <c r="C58">
        <v>70.7</v>
      </c>
      <c r="E58">
        <f t="shared" si="0"/>
        <v>0.20000000000000284</v>
      </c>
    </row>
    <row r="59" spans="1:5" x14ac:dyDescent="0.25">
      <c r="A59" t="s">
        <v>174</v>
      </c>
      <c r="B59">
        <v>87.7</v>
      </c>
      <c r="C59">
        <v>87.4</v>
      </c>
      <c r="E59">
        <f t="shared" si="0"/>
        <v>-0.29999999999999716</v>
      </c>
    </row>
    <row r="60" spans="1:5" x14ac:dyDescent="0.25">
      <c r="A60" t="s">
        <v>175</v>
      </c>
      <c r="B60">
        <v>101.3</v>
      </c>
      <c r="C60">
        <v>100.8</v>
      </c>
      <c r="E60">
        <f t="shared" si="0"/>
        <v>-0.5</v>
      </c>
    </row>
    <row r="61" spans="1:5" x14ac:dyDescent="0.25">
      <c r="A61" t="s">
        <v>187</v>
      </c>
      <c r="B61">
        <v>73.7</v>
      </c>
      <c r="C61">
        <v>73.900000000000006</v>
      </c>
      <c r="E61">
        <f t="shared" si="0"/>
        <v>0.20000000000000284</v>
      </c>
    </row>
    <row r="62" spans="1:5" x14ac:dyDescent="0.25">
      <c r="A62" t="s">
        <v>186</v>
      </c>
      <c r="B62">
        <v>80.3</v>
      </c>
      <c r="C62">
        <v>82</v>
      </c>
      <c r="E62">
        <f t="shared" si="0"/>
        <v>1.7000000000000028</v>
      </c>
    </row>
    <row r="63" spans="1:5" x14ac:dyDescent="0.25">
      <c r="A63" s="25"/>
      <c r="B63" s="27"/>
      <c r="C63" s="27"/>
    </row>
    <row r="64" spans="1:5" x14ac:dyDescent="0.25">
      <c r="A64" s="25"/>
      <c r="B64" s="27"/>
      <c r="C64" s="27"/>
    </row>
    <row r="65" spans="4:6" x14ac:dyDescent="0.25">
      <c r="D65" s="25"/>
      <c r="E65" s="27"/>
      <c r="F65" s="27"/>
    </row>
    <row r="66" spans="4:6" x14ac:dyDescent="0.25">
      <c r="D66" s="25"/>
      <c r="E66" s="27"/>
      <c r="F66" s="27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33"/>
  <sheetViews>
    <sheetView zoomScale="85" zoomScaleNormal="85" workbookViewId="0">
      <selection activeCell="L33" sqref="L33"/>
    </sheetView>
  </sheetViews>
  <sheetFormatPr defaultRowHeight="15" x14ac:dyDescent="0.25"/>
  <cols>
    <col min="7" max="7" width="9.85546875" customWidth="1"/>
    <col min="8" max="8" width="9.85546875" style="23" customWidth="1"/>
    <col min="9" max="9" width="9.140625" style="22"/>
    <col min="12" max="12" width="10.5703125" customWidth="1"/>
    <col min="14" max="14" width="9.5703125" bestFit="1" customWidth="1"/>
    <col min="17" max="17" width="9.140625" style="23"/>
  </cols>
  <sheetData>
    <row r="1" spans="1:17" s="25" customFormat="1" x14ac:dyDescent="0.25">
      <c r="A1" s="25" t="s">
        <v>0</v>
      </c>
      <c r="B1" s="25" t="s">
        <v>250</v>
      </c>
      <c r="C1" s="25" t="s">
        <v>251</v>
      </c>
      <c r="D1" s="25" t="s">
        <v>260</v>
      </c>
      <c r="E1" s="25" t="s">
        <v>261</v>
      </c>
      <c r="F1" s="25" t="s">
        <v>262</v>
      </c>
      <c r="G1" s="25" t="s">
        <v>263</v>
      </c>
      <c r="H1" s="28" t="s">
        <v>1</v>
      </c>
      <c r="I1" s="29" t="s">
        <v>250</v>
      </c>
      <c r="J1" s="25" t="s">
        <v>251</v>
      </c>
      <c r="K1" s="25" t="s">
        <v>252</v>
      </c>
      <c r="L1" s="25" t="s">
        <v>253</v>
      </c>
      <c r="M1" s="25" t="s">
        <v>254</v>
      </c>
      <c r="N1" s="25" t="s">
        <v>255</v>
      </c>
      <c r="O1" s="25" t="s">
        <v>256</v>
      </c>
      <c r="Q1" s="28" t="s">
        <v>257</v>
      </c>
    </row>
    <row r="2" spans="1:17" x14ac:dyDescent="0.25">
      <c r="A2" t="s">
        <v>3</v>
      </c>
      <c r="B2">
        <v>363</v>
      </c>
      <c r="C2">
        <f t="shared" ref="C2:C25" si="0">B2/100</f>
        <v>3.63</v>
      </c>
      <c r="D2" s="1">
        <v>1871.74452</v>
      </c>
      <c r="E2" s="1">
        <f>D2*0.2</f>
        <v>374.348904</v>
      </c>
      <c r="F2" s="1">
        <f>E2/C2</f>
        <v>103.12641983471075</v>
      </c>
      <c r="G2" s="1">
        <f t="shared" ref="G2:G31" si="1">F2*C2</f>
        <v>374.348904</v>
      </c>
      <c r="H2" s="24"/>
      <c r="I2">
        <v>363</v>
      </c>
      <c r="J2">
        <f t="shared" ref="J2:J31" si="2">I2/100</f>
        <v>3.63</v>
      </c>
      <c r="K2" s="1">
        <f t="shared" ref="K2:K31" si="3">(E2*0.3)</f>
        <v>112.3046712</v>
      </c>
      <c r="L2" s="1">
        <f>K2/J2</f>
        <v>30.937925950413224</v>
      </c>
      <c r="M2" s="1">
        <f t="shared" ref="M2:M31" si="4">G2-K2</f>
        <v>262.04423280000003</v>
      </c>
      <c r="N2" s="1">
        <f t="shared" ref="N2:N31" si="5">M2/C2</f>
        <v>72.188493884297529</v>
      </c>
      <c r="O2" s="1">
        <f>K2+M2</f>
        <v>374.34890400000006</v>
      </c>
      <c r="P2" s="1"/>
      <c r="Q2" s="23" t="s">
        <v>258</v>
      </c>
    </row>
    <row r="3" spans="1:17" x14ac:dyDescent="0.25">
      <c r="A3" t="s">
        <v>13</v>
      </c>
      <c r="B3">
        <v>363</v>
      </c>
      <c r="C3">
        <f t="shared" si="0"/>
        <v>3.63</v>
      </c>
      <c r="D3" s="1">
        <v>1711</v>
      </c>
      <c r="E3" s="1">
        <f t="shared" ref="E3:E31" si="6">D3*0.2</f>
        <v>342.20000000000005</v>
      </c>
      <c r="F3" s="1">
        <f t="shared" ref="F3:F31" si="7">E3/C3</f>
        <v>94.26997245179065</v>
      </c>
      <c r="G3" s="1">
        <f t="shared" si="1"/>
        <v>342.20000000000005</v>
      </c>
      <c r="I3">
        <v>363</v>
      </c>
      <c r="J3">
        <f t="shared" si="2"/>
        <v>3.63</v>
      </c>
      <c r="K3" s="1">
        <f t="shared" si="3"/>
        <v>102.66000000000001</v>
      </c>
      <c r="L3" s="1">
        <f t="shared" ref="L3:L24" si="8">K3/J3</f>
        <v>28.280991735537192</v>
      </c>
      <c r="M3" s="1">
        <f t="shared" si="4"/>
        <v>239.54000000000002</v>
      </c>
      <c r="N3" s="1">
        <f t="shared" si="5"/>
        <v>65.988980716253451</v>
      </c>
      <c r="O3" s="1">
        <f>K3+M3</f>
        <v>342.20000000000005</v>
      </c>
      <c r="P3" s="1"/>
      <c r="Q3" s="23" t="s">
        <v>258</v>
      </c>
    </row>
    <row r="4" spans="1:17" x14ac:dyDescent="0.25">
      <c r="A4" t="s">
        <v>68</v>
      </c>
      <c r="B4">
        <v>363</v>
      </c>
      <c r="C4">
        <f t="shared" si="0"/>
        <v>3.63</v>
      </c>
      <c r="D4" s="1">
        <v>1447</v>
      </c>
      <c r="E4" s="1">
        <f t="shared" si="6"/>
        <v>289.40000000000003</v>
      </c>
      <c r="F4" s="1">
        <f t="shared" si="7"/>
        <v>79.724517906336104</v>
      </c>
      <c r="G4" s="1">
        <f t="shared" si="1"/>
        <v>289.40000000000003</v>
      </c>
      <c r="I4">
        <v>363</v>
      </c>
      <c r="J4">
        <f t="shared" si="2"/>
        <v>3.63</v>
      </c>
      <c r="K4" s="1">
        <f t="shared" si="3"/>
        <v>86.820000000000007</v>
      </c>
      <c r="L4" s="1">
        <f t="shared" si="8"/>
        <v>23.917355371900829</v>
      </c>
      <c r="M4" s="1">
        <f t="shared" si="4"/>
        <v>202.58000000000004</v>
      </c>
      <c r="N4" s="1">
        <f t="shared" si="5"/>
        <v>55.807162534435271</v>
      </c>
      <c r="O4" s="1">
        <f t="shared" ref="O4:O31" si="9">K4+M4</f>
        <v>289.40000000000003</v>
      </c>
      <c r="P4" s="1"/>
      <c r="Q4" s="23" t="s">
        <v>258</v>
      </c>
    </row>
    <row r="5" spans="1:17" x14ac:dyDescent="0.25">
      <c r="A5" t="s">
        <v>69</v>
      </c>
      <c r="B5">
        <v>386</v>
      </c>
      <c r="C5">
        <f t="shared" si="0"/>
        <v>3.86</v>
      </c>
      <c r="D5" s="1">
        <v>1622</v>
      </c>
      <c r="E5" s="1">
        <f t="shared" si="6"/>
        <v>324.40000000000003</v>
      </c>
      <c r="F5" s="1">
        <f t="shared" si="7"/>
        <v>84.041450777202087</v>
      </c>
      <c r="G5" s="1">
        <f t="shared" si="1"/>
        <v>324.40000000000003</v>
      </c>
      <c r="I5">
        <v>386</v>
      </c>
      <c r="J5">
        <f t="shared" si="2"/>
        <v>3.86</v>
      </c>
      <c r="K5" s="1">
        <f t="shared" si="3"/>
        <v>97.320000000000007</v>
      </c>
      <c r="L5" s="1">
        <f t="shared" si="8"/>
        <v>25.212435233160626</v>
      </c>
      <c r="M5" s="1">
        <f t="shared" si="4"/>
        <v>227.08000000000004</v>
      </c>
      <c r="N5" s="1">
        <f t="shared" si="5"/>
        <v>58.829015544041461</v>
      </c>
      <c r="O5" s="1">
        <f t="shared" si="9"/>
        <v>324.40000000000003</v>
      </c>
      <c r="P5" s="1"/>
      <c r="Q5" s="23" t="s">
        <v>259</v>
      </c>
    </row>
    <row r="6" spans="1:17" x14ac:dyDescent="0.25">
      <c r="A6" t="s">
        <v>70</v>
      </c>
      <c r="B6">
        <v>386</v>
      </c>
      <c r="C6">
        <f t="shared" si="0"/>
        <v>3.86</v>
      </c>
      <c r="D6" s="1">
        <v>1256</v>
      </c>
      <c r="E6" s="1">
        <f t="shared" si="6"/>
        <v>251.20000000000002</v>
      </c>
      <c r="F6" s="1">
        <f t="shared" si="7"/>
        <v>65.07772020725389</v>
      </c>
      <c r="G6" s="1">
        <f t="shared" si="1"/>
        <v>251.20000000000002</v>
      </c>
      <c r="I6">
        <v>386</v>
      </c>
      <c r="J6">
        <f t="shared" si="2"/>
        <v>3.86</v>
      </c>
      <c r="K6" s="1">
        <f t="shared" si="3"/>
        <v>75.36</v>
      </c>
      <c r="L6" s="1">
        <f t="shared" si="8"/>
        <v>19.523316062176168</v>
      </c>
      <c r="M6" s="1">
        <f t="shared" si="4"/>
        <v>175.84000000000003</v>
      </c>
      <c r="N6" s="1">
        <f t="shared" si="5"/>
        <v>45.554404145077733</v>
      </c>
      <c r="O6" s="1">
        <f t="shared" si="9"/>
        <v>251.20000000000005</v>
      </c>
      <c r="P6" s="1"/>
      <c r="Q6" s="23" t="s">
        <v>259</v>
      </c>
    </row>
    <row r="7" spans="1:17" x14ac:dyDescent="0.25">
      <c r="A7" t="s">
        <v>74</v>
      </c>
      <c r="B7">
        <v>386</v>
      </c>
      <c r="C7">
        <f t="shared" si="0"/>
        <v>3.86</v>
      </c>
      <c r="D7" s="1">
        <v>1367</v>
      </c>
      <c r="E7" s="1">
        <f t="shared" si="6"/>
        <v>273.40000000000003</v>
      </c>
      <c r="F7" s="1">
        <f t="shared" si="7"/>
        <v>70.829015544041468</v>
      </c>
      <c r="G7" s="1">
        <f t="shared" si="1"/>
        <v>273.40000000000003</v>
      </c>
      <c r="I7">
        <v>386</v>
      </c>
      <c r="J7">
        <f t="shared" si="2"/>
        <v>3.86</v>
      </c>
      <c r="K7" s="1">
        <f t="shared" si="3"/>
        <v>82.02000000000001</v>
      </c>
      <c r="L7" s="1">
        <f t="shared" si="8"/>
        <v>21.24870466321244</v>
      </c>
      <c r="M7" s="1">
        <f t="shared" si="4"/>
        <v>191.38000000000002</v>
      </c>
      <c r="N7" s="1">
        <f t="shared" si="5"/>
        <v>49.580310880829025</v>
      </c>
      <c r="O7" s="1">
        <f t="shared" si="9"/>
        <v>273.40000000000003</v>
      </c>
      <c r="P7" s="1"/>
      <c r="Q7" s="23" t="s">
        <v>259</v>
      </c>
    </row>
    <row r="8" spans="1:17" x14ac:dyDescent="0.25">
      <c r="A8" t="s">
        <v>79</v>
      </c>
      <c r="B8">
        <v>386</v>
      </c>
      <c r="C8">
        <f t="shared" si="0"/>
        <v>3.86</v>
      </c>
      <c r="D8" s="1">
        <v>1511</v>
      </c>
      <c r="E8" s="1">
        <f t="shared" si="6"/>
        <v>302.2</v>
      </c>
      <c r="F8" s="1">
        <f t="shared" si="7"/>
        <v>78.290155440414509</v>
      </c>
      <c r="G8" s="1">
        <f t="shared" si="1"/>
        <v>302.2</v>
      </c>
      <c r="I8">
        <v>386</v>
      </c>
      <c r="J8">
        <f t="shared" si="2"/>
        <v>3.86</v>
      </c>
      <c r="K8" s="1">
        <f t="shared" si="3"/>
        <v>90.66</v>
      </c>
      <c r="L8" s="1">
        <f t="shared" si="8"/>
        <v>23.487046632124351</v>
      </c>
      <c r="M8" s="1">
        <f t="shared" si="4"/>
        <v>211.54</v>
      </c>
      <c r="N8" s="1">
        <f t="shared" si="5"/>
        <v>54.803108808290155</v>
      </c>
      <c r="O8" s="1">
        <f t="shared" si="9"/>
        <v>302.2</v>
      </c>
      <c r="P8" s="1"/>
      <c r="Q8" s="23" t="s">
        <v>259</v>
      </c>
    </row>
    <row r="9" spans="1:17" x14ac:dyDescent="0.25">
      <c r="A9" t="s">
        <v>80</v>
      </c>
      <c r="B9">
        <v>386</v>
      </c>
      <c r="C9">
        <f t="shared" si="0"/>
        <v>3.86</v>
      </c>
      <c r="D9" s="1">
        <v>1836</v>
      </c>
      <c r="E9" s="1">
        <f t="shared" si="6"/>
        <v>367.20000000000005</v>
      </c>
      <c r="F9" s="1">
        <f t="shared" si="7"/>
        <v>95.129533678756488</v>
      </c>
      <c r="G9" s="1">
        <f t="shared" si="1"/>
        <v>367.20000000000005</v>
      </c>
      <c r="I9">
        <v>386</v>
      </c>
      <c r="J9">
        <f t="shared" si="2"/>
        <v>3.86</v>
      </c>
      <c r="K9" s="1">
        <f t="shared" si="3"/>
        <v>110.16000000000001</v>
      </c>
      <c r="L9" s="1">
        <f t="shared" si="8"/>
        <v>28.538860103626948</v>
      </c>
      <c r="M9" s="1">
        <f t="shared" si="4"/>
        <v>257.04000000000002</v>
      </c>
      <c r="N9" s="1">
        <f t="shared" si="5"/>
        <v>66.590673575129543</v>
      </c>
      <c r="O9" s="1">
        <f t="shared" si="9"/>
        <v>367.20000000000005</v>
      </c>
      <c r="P9" s="1"/>
      <c r="Q9" s="23" t="s">
        <v>259</v>
      </c>
    </row>
    <row r="10" spans="1:17" x14ac:dyDescent="0.25">
      <c r="A10" t="s">
        <v>86</v>
      </c>
      <c r="B10">
        <v>386</v>
      </c>
      <c r="C10">
        <f t="shared" si="0"/>
        <v>3.86</v>
      </c>
      <c r="D10" s="1">
        <v>1335</v>
      </c>
      <c r="E10" s="1">
        <f t="shared" si="6"/>
        <v>267</v>
      </c>
      <c r="F10" s="1">
        <f t="shared" si="7"/>
        <v>69.170984455958546</v>
      </c>
      <c r="G10" s="1">
        <f t="shared" si="1"/>
        <v>267</v>
      </c>
      <c r="I10">
        <v>386</v>
      </c>
      <c r="J10">
        <f t="shared" si="2"/>
        <v>3.86</v>
      </c>
      <c r="K10" s="1">
        <f t="shared" si="3"/>
        <v>80.099999999999994</v>
      </c>
      <c r="L10" s="1">
        <f t="shared" si="8"/>
        <v>20.751295336787564</v>
      </c>
      <c r="M10" s="1">
        <f t="shared" si="4"/>
        <v>186.9</v>
      </c>
      <c r="N10" s="1">
        <f t="shared" si="5"/>
        <v>48.419689119170989</v>
      </c>
      <c r="O10" s="1">
        <f t="shared" si="9"/>
        <v>267</v>
      </c>
      <c r="P10" s="1"/>
      <c r="Q10" s="23" t="s">
        <v>259</v>
      </c>
    </row>
    <row r="11" spans="1:17" x14ac:dyDescent="0.25">
      <c r="A11" t="s">
        <v>92</v>
      </c>
      <c r="B11">
        <v>386</v>
      </c>
      <c r="C11">
        <f t="shared" si="0"/>
        <v>3.86</v>
      </c>
      <c r="D11" s="1">
        <v>1191</v>
      </c>
      <c r="E11" s="1">
        <f t="shared" si="6"/>
        <v>238.20000000000002</v>
      </c>
      <c r="F11" s="1">
        <f t="shared" si="7"/>
        <v>61.709844559585498</v>
      </c>
      <c r="G11" s="1">
        <f t="shared" si="1"/>
        <v>238.20000000000002</v>
      </c>
      <c r="I11">
        <v>386</v>
      </c>
      <c r="J11">
        <f t="shared" si="2"/>
        <v>3.86</v>
      </c>
      <c r="K11" s="1">
        <f t="shared" si="3"/>
        <v>71.460000000000008</v>
      </c>
      <c r="L11" s="1">
        <f t="shared" si="8"/>
        <v>18.512953367875649</v>
      </c>
      <c r="M11" s="1">
        <f t="shared" si="4"/>
        <v>166.74</v>
      </c>
      <c r="N11" s="1">
        <f t="shared" si="5"/>
        <v>43.196891191709845</v>
      </c>
      <c r="O11" s="1">
        <f t="shared" si="9"/>
        <v>238.20000000000002</v>
      </c>
      <c r="P11" s="1"/>
      <c r="Q11" s="23" t="s">
        <v>259</v>
      </c>
    </row>
    <row r="12" spans="1:17" x14ac:dyDescent="0.25">
      <c r="A12" t="s">
        <v>93</v>
      </c>
      <c r="B12">
        <v>386</v>
      </c>
      <c r="C12">
        <f t="shared" si="0"/>
        <v>3.86</v>
      </c>
      <c r="D12" s="1">
        <f>(1649+1574)/2</f>
        <v>1611.5</v>
      </c>
      <c r="E12" s="1">
        <f t="shared" si="6"/>
        <v>322.3</v>
      </c>
      <c r="F12" s="1">
        <f t="shared" si="7"/>
        <v>83.497409326424872</v>
      </c>
      <c r="G12" s="1">
        <f t="shared" si="1"/>
        <v>322.3</v>
      </c>
      <c r="I12">
        <v>386</v>
      </c>
      <c r="J12">
        <f t="shared" si="2"/>
        <v>3.86</v>
      </c>
      <c r="K12" s="1">
        <f t="shared" si="3"/>
        <v>96.69</v>
      </c>
      <c r="L12" s="1">
        <f t="shared" si="8"/>
        <v>25.049222797927463</v>
      </c>
      <c r="M12" s="1">
        <f t="shared" si="4"/>
        <v>225.61</v>
      </c>
      <c r="N12" s="1">
        <f t="shared" si="5"/>
        <v>58.448186528497416</v>
      </c>
      <c r="O12" s="1">
        <f t="shared" si="9"/>
        <v>322.3</v>
      </c>
      <c r="P12" s="1"/>
      <c r="Q12" s="23" t="s">
        <v>259</v>
      </c>
    </row>
    <row r="13" spans="1:17" x14ac:dyDescent="0.25">
      <c r="A13" t="s">
        <v>110</v>
      </c>
      <c r="B13">
        <v>386</v>
      </c>
      <c r="C13">
        <f t="shared" si="0"/>
        <v>3.86</v>
      </c>
      <c r="D13" s="1">
        <v>1836</v>
      </c>
      <c r="E13" s="1">
        <f t="shared" si="6"/>
        <v>367.20000000000005</v>
      </c>
      <c r="F13" s="1">
        <f t="shared" si="7"/>
        <v>95.129533678756488</v>
      </c>
      <c r="G13" s="1">
        <f t="shared" si="1"/>
        <v>367.20000000000005</v>
      </c>
      <c r="I13">
        <v>386</v>
      </c>
      <c r="J13">
        <f t="shared" si="2"/>
        <v>3.86</v>
      </c>
      <c r="K13" s="1">
        <f t="shared" si="3"/>
        <v>110.16000000000001</v>
      </c>
      <c r="L13" s="1">
        <f t="shared" si="8"/>
        <v>28.538860103626948</v>
      </c>
      <c r="M13" s="1">
        <f t="shared" si="4"/>
        <v>257.04000000000002</v>
      </c>
      <c r="N13" s="1">
        <f t="shared" si="5"/>
        <v>66.590673575129543</v>
      </c>
      <c r="O13" s="1">
        <f t="shared" si="9"/>
        <v>367.20000000000005</v>
      </c>
      <c r="P13" s="1"/>
      <c r="Q13" s="23" t="s">
        <v>259</v>
      </c>
    </row>
    <row r="14" spans="1:17" x14ac:dyDescent="0.25">
      <c r="A14" t="s">
        <v>120</v>
      </c>
      <c r="B14">
        <v>386</v>
      </c>
      <c r="C14">
        <f t="shared" si="0"/>
        <v>3.86</v>
      </c>
      <c r="D14" s="1">
        <v>1384</v>
      </c>
      <c r="E14" s="1">
        <f t="shared" si="6"/>
        <v>276.8</v>
      </c>
      <c r="F14" s="1">
        <f t="shared" si="7"/>
        <v>71.709844559585491</v>
      </c>
      <c r="G14" s="1">
        <f t="shared" si="1"/>
        <v>276.8</v>
      </c>
      <c r="I14">
        <v>386</v>
      </c>
      <c r="J14">
        <f t="shared" si="2"/>
        <v>3.86</v>
      </c>
      <c r="K14" s="1">
        <f t="shared" si="3"/>
        <v>83.04</v>
      </c>
      <c r="L14" s="1">
        <f t="shared" si="8"/>
        <v>21.512953367875649</v>
      </c>
      <c r="M14" s="1">
        <f t="shared" si="4"/>
        <v>193.76</v>
      </c>
      <c r="N14" s="1">
        <f t="shared" si="5"/>
        <v>50.196891191709845</v>
      </c>
      <c r="O14" s="1">
        <f t="shared" si="9"/>
        <v>276.8</v>
      </c>
      <c r="P14" s="1"/>
      <c r="Q14" s="23" t="s">
        <v>259</v>
      </c>
    </row>
    <row r="15" spans="1:17" x14ac:dyDescent="0.25">
      <c r="A15" t="s">
        <v>249</v>
      </c>
      <c r="B15">
        <v>386</v>
      </c>
      <c r="C15">
        <f t="shared" si="0"/>
        <v>3.86</v>
      </c>
      <c r="D15" s="1">
        <v>2052</v>
      </c>
      <c r="E15" s="1">
        <f t="shared" si="6"/>
        <v>410.40000000000003</v>
      </c>
      <c r="F15" s="1">
        <f t="shared" si="7"/>
        <v>106.32124352331607</v>
      </c>
      <c r="G15" s="1">
        <f t="shared" si="1"/>
        <v>410.40000000000003</v>
      </c>
      <c r="I15">
        <v>386</v>
      </c>
      <c r="J15">
        <f t="shared" si="2"/>
        <v>3.86</v>
      </c>
      <c r="K15" s="1">
        <f t="shared" si="3"/>
        <v>123.12</v>
      </c>
      <c r="L15" s="1">
        <f t="shared" si="8"/>
        <v>31.896373056994822</v>
      </c>
      <c r="M15" s="1">
        <f t="shared" si="4"/>
        <v>287.28000000000003</v>
      </c>
      <c r="N15" s="1">
        <f t="shared" si="5"/>
        <v>74.424870466321252</v>
      </c>
      <c r="O15" s="1">
        <f t="shared" si="9"/>
        <v>410.40000000000003</v>
      </c>
      <c r="P15" s="1"/>
      <c r="Q15" s="23" t="s">
        <v>259</v>
      </c>
    </row>
    <row r="16" spans="1:17" x14ac:dyDescent="0.25">
      <c r="A16" t="s">
        <v>125</v>
      </c>
      <c r="B16">
        <v>386</v>
      </c>
      <c r="C16">
        <f t="shared" si="0"/>
        <v>3.86</v>
      </c>
      <c r="D16" s="1">
        <v>1308</v>
      </c>
      <c r="E16" s="1">
        <f t="shared" si="6"/>
        <v>261.60000000000002</v>
      </c>
      <c r="F16" s="1">
        <f t="shared" si="7"/>
        <v>67.772020725388614</v>
      </c>
      <c r="G16" s="1">
        <f t="shared" si="1"/>
        <v>261.60000000000002</v>
      </c>
      <c r="I16">
        <v>386</v>
      </c>
      <c r="J16">
        <f t="shared" si="2"/>
        <v>3.86</v>
      </c>
      <c r="K16" s="1">
        <f t="shared" si="3"/>
        <v>78.48</v>
      </c>
      <c r="L16" s="1">
        <f t="shared" si="8"/>
        <v>20.331606217616581</v>
      </c>
      <c r="M16" s="1">
        <f t="shared" si="4"/>
        <v>183.12</v>
      </c>
      <c r="N16" s="1">
        <f t="shared" si="5"/>
        <v>47.440414507772026</v>
      </c>
      <c r="O16" s="1">
        <f t="shared" si="9"/>
        <v>261.60000000000002</v>
      </c>
      <c r="P16" s="1"/>
      <c r="Q16" s="23" t="s">
        <v>259</v>
      </c>
    </row>
    <row r="17" spans="1:17" x14ac:dyDescent="0.25">
      <c r="A17" t="s">
        <v>130</v>
      </c>
      <c r="B17">
        <v>386</v>
      </c>
      <c r="C17">
        <f t="shared" si="0"/>
        <v>3.86</v>
      </c>
      <c r="D17" s="1">
        <v>1386</v>
      </c>
      <c r="E17" s="1">
        <f t="shared" si="6"/>
        <v>277.2</v>
      </c>
      <c r="F17" s="11">
        <f t="shared" si="7"/>
        <v>71.813471502590673</v>
      </c>
      <c r="G17" s="1">
        <f t="shared" si="1"/>
        <v>277.2</v>
      </c>
      <c r="I17">
        <v>386</v>
      </c>
      <c r="J17">
        <f t="shared" si="2"/>
        <v>3.86</v>
      </c>
      <c r="K17" s="1">
        <f t="shared" si="3"/>
        <v>83.16</v>
      </c>
      <c r="L17" s="1">
        <f t="shared" si="8"/>
        <v>21.5440414507772</v>
      </c>
      <c r="M17" s="1">
        <f t="shared" si="4"/>
        <v>194.04</v>
      </c>
      <c r="N17" s="1">
        <f t="shared" si="5"/>
        <v>50.269430051813472</v>
      </c>
      <c r="O17" s="1">
        <f t="shared" si="9"/>
        <v>277.2</v>
      </c>
      <c r="P17" s="1"/>
      <c r="Q17" s="23" t="s">
        <v>259</v>
      </c>
    </row>
    <row r="18" spans="1:17" x14ac:dyDescent="0.25">
      <c r="A18" t="s">
        <v>145</v>
      </c>
      <c r="B18">
        <v>386</v>
      </c>
      <c r="C18">
        <f t="shared" si="0"/>
        <v>3.86</v>
      </c>
      <c r="D18" s="1">
        <v>1516</v>
      </c>
      <c r="E18" s="1">
        <f t="shared" si="6"/>
        <v>303.2</v>
      </c>
      <c r="F18" s="1">
        <f t="shared" si="7"/>
        <v>78.549222797927456</v>
      </c>
      <c r="G18" s="1">
        <f t="shared" si="1"/>
        <v>303.2</v>
      </c>
      <c r="I18">
        <v>386</v>
      </c>
      <c r="J18">
        <f t="shared" si="2"/>
        <v>3.86</v>
      </c>
      <c r="K18" s="1">
        <f t="shared" si="3"/>
        <v>90.96</v>
      </c>
      <c r="L18" s="1">
        <f t="shared" si="8"/>
        <v>23.564766839378237</v>
      </c>
      <c r="M18" s="1">
        <f t="shared" si="4"/>
        <v>212.24</v>
      </c>
      <c r="N18" s="1">
        <f t="shared" si="5"/>
        <v>54.984455958549226</v>
      </c>
      <c r="O18" s="1">
        <f t="shared" si="9"/>
        <v>303.2</v>
      </c>
      <c r="P18" s="1"/>
      <c r="Q18" s="23" t="s">
        <v>259</v>
      </c>
    </row>
    <row r="19" spans="1:17" x14ac:dyDescent="0.25">
      <c r="A19" t="s">
        <v>144</v>
      </c>
      <c r="B19">
        <v>386</v>
      </c>
      <c r="C19">
        <f t="shared" si="0"/>
        <v>3.86</v>
      </c>
      <c r="D19" s="1">
        <v>1550</v>
      </c>
      <c r="E19" s="1">
        <f t="shared" si="6"/>
        <v>310</v>
      </c>
      <c r="F19" s="1">
        <f t="shared" si="7"/>
        <v>80.310880829015545</v>
      </c>
      <c r="G19" s="1">
        <f t="shared" si="1"/>
        <v>310</v>
      </c>
      <c r="I19">
        <v>386</v>
      </c>
      <c r="J19">
        <f t="shared" si="2"/>
        <v>3.86</v>
      </c>
      <c r="K19" s="1">
        <f t="shared" si="3"/>
        <v>93</v>
      </c>
      <c r="L19" s="1">
        <f t="shared" si="8"/>
        <v>24.093264248704664</v>
      </c>
      <c r="M19" s="1">
        <f t="shared" si="4"/>
        <v>217</v>
      </c>
      <c r="N19" s="1">
        <f t="shared" si="5"/>
        <v>56.217616580310882</v>
      </c>
      <c r="O19" s="1">
        <f t="shared" si="9"/>
        <v>310</v>
      </c>
      <c r="P19" s="1"/>
      <c r="Q19" s="23" t="s">
        <v>259</v>
      </c>
    </row>
    <row r="20" spans="1:17" x14ac:dyDescent="0.25">
      <c r="A20" t="s">
        <v>132</v>
      </c>
      <c r="B20">
        <v>386</v>
      </c>
      <c r="C20">
        <f t="shared" si="0"/>
        <v>3.86</v>
      </c>
      <c r="D20" s="1">
        <v>1550</v>
      </c>
      <c r="E20" s="1">
        <f t="shared" si="6"/>
        <v>310</v>
      </c>
      <c r="F20" s="1">
        <f t="shared" si="7"/>
        <v>80.310880829015545</v>
      </c>
      <c r="G20" s="1">
        <f t="shared" si="1"/>
        <v>310</v>
      </c>
      <c r="I20">
        <v>386</v>
      </c>
      <c r="J20">
        <f t="shared" si="2"/>
        <v>3.86</v>
      </c>
      <c r="K20" s="1">
        <f t="shared" si="3"/>
        <v>93</v>
      </c>
      <c r="L20" s="1">
        <f t="shared" si="8"/>
        <v>24.093264248704664</v>
      </c>
      <c r="M20" s="1">
        <f t="shared" si="4"/>
        <v>217</v>
      </c>
      <c r="N20" s="1">
        <f t="shared" si="5"/>
        <v>56.217616580310882</v>
      </c>
      <c r="O20" s="1">
        <f t="shared" si="9"/>
        <v>310</v>
      </c>
      <c r="P20" s="1"/>
      <c r="Q20" s="23" t="s">
        <v>259</v>
      </c>
    </row>
    <row r="21" spans="1:17" x14ac:dyDescent="0.25">
      <c r="A21" t="s">
        <v>146</v>
      </c>
      <c r="B21">
        <v>386</v>
      </c>
      <c r="C21">
        <f t="shared" si="0"/>
        <v>3.86</v>
      </c>
      <c r="D21" s="1">
        <v>1652</v>
      </c>
      <c r="E21" s="1">
        <f t="shared" si="6"/>
        <v>330.40000000000003</v>
      </c>
      <c r="F21" s="1">
        <f t="shared" si="7"/>
        <v>85.595854922279798</v>
      </c>
      <c r="G21" s="1">
        <f t="shared" si="1"/>
        <v>330.40000000000003</v>
      </c>
      <c r="I21">
        <v>386</v>
      </c>
      <c r="J21">
        <f t="shared" si="2"/>
        <v>3.86</v>
      </c>
      <c r="K21" s="1">
        <f t="shared" si="3"/>
        <v>99.12</v>
      </c>
      <c r="L21" s="1">
        <f t="shared" si="8"/>
        <v>25.67875647668394</v>
      </c>
      <c r="M21" s="1">
        <f t="shared" si="4"/>
        <v>231.28000000000003</v>
      </c>
      <c r="N21" s="1">
        <f t="shared" si="5"/>
        <v>59.917098445595862</v>
      </c>
      <c r="O21" s="1">
        <f t="shared" si="9"/>
        <v>330.40000000000003</v>
      </c>
      <c r="P21" s="1"/>
      <c r="Q21" s="23" t="s">
        <v>259</v>
      </c>
    </row>
    <row r="22" spans="1:17" x14ac:dyDescent="0.25">
      <c r="A22" t="s">
        <v>147</v>
      </c>
      <c r="B22">
        <v>386</v>
      </c>
      <c r="C22">
        <f t="shared" si="0"/>
        <v>3.86</v>
      </c>
      <c r="D22" s="1">
        <v>1234</v>
      </c>
      <c r="E22" s="1">
        <f t="shared" si="6"/>
        <v>246.8</v>
      </c>
      <c r="F22" s="1">
        <f t="shared" si="7"/>
        <v>63.937823834196898</v>
      </c>
      <c r="G22" s="1">
        <f t="shared" si="1"/>
        <v>246.8</v>
      </c>
      <c r="I22">
        <v>386</v>
      </c>
      <c r="J22">
        <f t="shared" si="2"/>
        <v>3.86</v>
      </c>
      <c r="K22" s="1">
        <f t="shared" si="3"/>
        <v>74.040000000000006</v>
      </c>
      <c r="L22" s="1">
        <f t="shared" si="8"/>
        <v>19.181347150259068</v>
      </c>
      <c r="M22" s="1">
        <f t="shared" si="4"/>
        <v>172.76</v>
      </c>
      <c r="N22" s="1">
        <f t="shared" si="5"/>
        <v>44.756476683937819</v>
      </c>
      <c r="O22" s="1">
        <f t="shared" si="9"/>
        <v>246.8</v>
      </c>
      <c r="P22" s="1"/>
      <c r="Q22" s="23" t="s">
        <v>259</v>
      </c>
    </row>
    <row r="23" spans="1:17" x14ac:dyDescent="0.25">
      <c r="A23" t="s">
        <v>155</v>
      </c>
      <c r="B23" s="4">
        <v>386</v>
      </c>
      <c r="C23">
        <f t="shared" si="0"/>
        <v>3.86</v>
      </c>
      <c r="D23" s="1">
        <v>1435</v>
      </c>
      <c r="E23" s="1">
        <f t="shared" si="6"/>
        <v>287</v>
      </c>
      <c r="F23" s="1">
        <f t="shared" si="7"/>
        <v>74.352331606217618</v>
      </c>
      <c r="G23" s="1">
        <f t="shared" si="1"/>
        <v>287</v>
      </c>
      <c r="I23" s="4">
        <v>386</v>
      </c>
      <c r="J23">
        <f t="shared" si="2"/>
        <v>3.86</v>
      </c>
      <c r="K23" s="1">
        <f t="shared" si="3"/>
        <v>86.1</v>
      </c>
      <c r="L23" s="1">
        <f t="shared" si="8"/>
        <v>22.305699481865283</v>
      </c>
      <c r="M23" s="1">
        <f t="shared" si="4"/>
        <v>200.9</v>
      </c>
      <c r="N23" s="1">
        <f t="shared" si="5"/>
        <v>52.046632124352335</v>
      </c>
      <c r="O23" s="1">
        <f t="shared" si="9"/>
        <v>287</v>
      </c>
      <c r="P23" s="1"/>
      <c r="Q23" s="23" t="s">
        <v>259</v>
      </c>
    </row>
    <row r="24" spans="1:17" x14ac:dyDescent="0.25">
      <c r="A24" t="s">
        <v>158</v>
      </c>
      <c r="B24" s="4">
        <v>386</v>
      </c>
      <c r="C24">
        <f t="shared" si="0"/>
        <v>3.86</v>
      </c>
      <c r="D24" s="1">
        <v>1320</v>
      </c>
      <c r="E24" s="1">
        <f t="shared" si="6"/>
        <v>264</v>
      </c>
      <c r="F24" s="1">
        <f t="shared" si="7"/>
        <v>68.393782383419691</v>
      </c>
      <c r="G24" s="1">
        <f t="shared" si="1"/>
        <v>264</v>
      </c>
      <c r="I24" s="4">
        <v>386</v>
      </c>
      <c r="J24">
        <f t="shared" si="2"/>
        <v>3.86</v>
      </c>
      <c r="K24" s="1">
        <f t="shared" si="3"/>
        <v>79.2</v>
      </c>
      <c r="L24" s="1">
        <f t="shared" si="8"/>
        <v>20.518134715025909</v>
      </c>
      <c r="M24" s="1">
        <f t="shared" si="4"/>
        <v>184.8</v>
      </c>
      <c r="N24" s="1">
        <f t="shared" si="5"/>
        <v>47.875647668393789</v>
      </c>
      <c r="O24" s="1">
        <f t="shared" si="9"/>
        <v>264</v>
      </c>
      <c r="P24" s="1"/>
      <c r="Q24" s="23" t="s">
        <v>259</v>
      </c>
    </row>
    <row r="25" spans="1:17" x14ac:dyDescent="0.25">
      <c r="A25" t="s">
        <v>162</v>
      </c>
      <c r="B25" s="4">
        <v>386</v>
      </c>
      <c r="C25">
        <f t="shared" si="0"/>
        <v>3.86</v>
      </c>
      <c r="D25" s="1">
        <v>1684</v>
      </c>
      <c r="E25" s="1">
        <f t="shared" si="6"/>
        <v>336.8</v>
      </c>
      <c r="F25" s="1">
        <f t="shared" si="7"/>
        <v>87.253886010362706</v>
      </c>
      <c r="G25" s="1">
        <f t="shared" si="1"/>
        <v>336.8</v>
      </c>
      <c r="I25" s="4">
        <v>386</v>
      </c>
      <c r="J25">
        <f t="shared" si="2"/>
        <v>3.86</v>
      </c>
      <c r="K25" s="1">
        <f t="shared" si="3"/>
        <v>101.04</v>
      </c>
      <c r="L25" s="1">
        <f>K25/J25</f>
        <v>26.176165803108812</v>
      </c>
      <c r="M25" s="1">
        <f t="shared" si="4"/>
        <v>235.76</v>
      </c>
      <c r="N25" s="1">
        <f t="shared" si="5"/>
        <v>61.077720207253883</v>
      </c>
      <c r="O25" s="1">
        <f t="shared" si="9"/>
        <v>336.8</v>
      </c>
      <c r="P25" s="1"/>
      <c r="Q25" s="23" t="s">
        <v>259</v>
      </c>
    </row>
    <row r="26" spans="1:17" x14ac:dyDescent="0.25">
      <c r="A26" t="s">
        <v>160</v>
      </c>
      <c r="B26" s="4">
        <v>386</v>
      </c>
      <c r="C26">
        <f>B26/100</f>
        <v>3.86</v>
      </c>
      <c r="D26" s="1">
        <v>2171</v>
      </c>
      <c r="E26" s="1">
        <f t="shared" si="6"/>
        <v>434.20000000000005</v>
      </c>
      <c r="F26" s="1">
        <f t="shared" si="7"/>
        <v>112.48704663212436</v>
      </c>
      <c r="G26" s="1">
        <f t="shared" si="1"/>
        <v>434.20000000000005</v>
      </c>
      <c r="I26" s="4">
        <v>386</v>
      </c>
      <c r="J26">
        <f t="shared" si="2"/>
        <v>3.86</v>
      </c>
      <c r="K26" s="1">
        <f t="shared" si="3"/>
        <v>130.26000000000002</v>
      </c>
      <c r="L26" s="1">
        <f t="shared" ref="L26:L31" si="10">K26/J26</f>
        <v>33.746113989637308</v>
      </c>
      <c r="M26" s="1">
        <f t="shared" si="4"/>
        <v>303.94000000000005</v>
      </c>
      <c r="N26" s="1">
        <f t="shared" si="5"/>
        <v>78.740932642487067</v>
      </c>
      <c r="O26" s="1">
        <f t="shared" si="9"/>
        <v>434.20000000000005</v>
      </c>
      <c r="P26" s="1"/>
      <c r="Q26" s="23" t="s">
        <v>259</v>
      </c>
    </row>
    <row r="27" spans="1:17" x14ac:dyDescent="0.25">
      <c r="A27" t="s">
        <v>173</v>
      </c>
      <c r="B27" s="4">
        <v>386</v>
      </c>
      <c r="C27">
        <f t="shared" ref="C27:C31" si="11">B27/100</f>
        <v>3.86</v>
      </c>
      <c r="D27" s="1">
        <v>1270</v>
      </c>
      <c r="E27" s="1">
        <f t="shared" si="6"/>
        <v>254</v>
      </c>
      <c r="F27" s="1">
        <f t="shared" si="7"/>
        <v>65.803108808290162</v>
      </c>
      <c r="G27" s="1">
        <f t="shared" si="1"/>
        <v>254.00000000000003</v>
      </c>
      <c r="I27" s="4">
        <v>386</v>
      </c>
      <c r="J27">
        <f t="shared" si="2"/>
        <v>3.86</v>
      </c>
      <c r="K27" s="1">
        <f t="shared" si="3"/>
        <v>76.2</v>
      </c>
      <c r="L27" s="1">
        <f t="shared" si="10"/>
        <v>19.740932642487049</v>
      </c>
      <c r="M27" s="1">
        <f t="shared" si="4"/>
        <v>177.8</v>
      </c>
      <c r="N27" s="1">
        <f t="shared" si="5"/>
        <v>46.062176165803116</v>
      </c>
      <c r="O27" s="1">
        <f t="shared" si="9"/>
        <v>254</v>
      </c>
      <c r="P27" s="1"/>
      <c r="Q27" s="23" t="s">
        <v>259</v>
      </c>
    </row>
    <row r="28" spans="1:17" x14ac:dyDescent="0.25">
      <c r="A28" t="s">
        <v>174</v>
      </c>
      <c r="B28">
        <v>386</v>
      </c>
      <c r="C28">
        <f t="shared" si="11"/>
        <v>3.86</v>
      </c>
      <c r="D28" s="1">
        <v>1663</v>
      </c>
      <c r="E28" s="1">
        <f t="shared" si="6"/>
        <v>332.6</v>
      </c>
      <c r="F28" s="1">
        <f t="shared" si="7"/>
        <v>86.165803108808305</v>
      </c>
      <c r="G28" s="1">
        <f t="shared" si="1"/>
        <v>332.6</v>
      </c>
      <c r="I28">
        <v>386</v>
      </c>
      <c r="J28">
        <f t="shared" si="2"/>
        <v>3.86</v>
      </c>
      <c r="K28" s="1">
        <f t="shared" si="3"/>
        <v>99.78</v>
      </c>
      <c r="L28" s="1">
        <f t="shared" si="10"/>
        <v>25.849740932642487</v>
      </c>
      <c r="M28" s="1">
        <f t="shared" si="4"/>
        <v>232.82000000000002</v>
      </c>
      <c r="N28" s="1">
        <f t="shared" si="5"/>
        <v>60.316062176165808</v>
      </c>
      <c r="O28" s="1">
        <f t="shared" si="9"/>
        <v>332.6</v>
      </c>
      <c r="P28" s="1"/>
      <c r="Q28" s="23" t="s">
        <v>259</v>
      </c>
    </row>
    <row r="29" spans="1:17" x14ac:dyDescent="0.25">
      <c r="A29" t="s">
        <v>175</v>
      </c>
      <c r="B29">
        <v>386</v>
      </c>
      <c r="C29">
        <f t="shared" si="11"/>
        <v>3.86</v>
      </c>
      <c r="D29" s="1">
        <v>1434</v>
      </c>
      <c r="E29" s="1">
        <f t="shared" si="6"/>
        <v>286.8</v>
      </c>
      <c r="F29" s="1">
        <f t="shared" si="7"/>
        <v>74.300518134715034</v>
      </c>
      <c r="G29" s="1">
        <f t="shared" si="1"/>
        <v>286.8</v>
      </c>
      <c r="I29">
        <v>386</v>
      </c>
      <c r="J29">
        <f t="shared" si="2"/>
        <v>3.86</v>
      </c>
      <c r="K29" s="1">
        <f t="shared" si="3"/>
        <v>86.04</v>
      </c>
      <c r="L29" s="1">
        <f t="shared" si="10"/>
        <v>22.290155440414509</v>
      </c>
      <c r="M29" s="1">
        <f t="shared" si="4"/>
        <v>200.76</v>
      </c>
      <c r="N29" s="1">
        <f t="shared" si="5"/>
        <v>52.010362694300518</v>
      </c>
      <c r="O29" s="1">
        <f t="shared" si="9"/>
        <v>286.8</v>
      </c>
      <c r="P29" s="1"/>
      <c r="Q29" s="23" t="s">
        <v>259</v>
      </c>
    </row>
    <row r="30" spans="1:17" x14ac:dyDescent="0.25">
      <c r="A30" t="s">
        <v>187</v>
      </c>
      <c r="B30">
        <v>386</v>
      </c>
      <c r="C30">
        <f t="shared" si="11"/>
        <v>3.86</v>
      </c>
      <c r="D30" s="1">
        <v>1369</v>
      </c>
      <c r="E30" s="1">
        <f t="shared" si="6"/>
        <v>273.8</v>
      </c>
      <c r="F30" s="1">
        <f t="shared" si="7"/>
        <v>70.932642487046635</v>
      </c>
      <c r="G30" s="1">
        <f t="shared" si="1"/>
        <v>273.8</v>
      </c>
      <c r="I30">
        <v>386</v>
      </c>
      <c r="J30">
        <f t="shared" si="2"/>
        <v>3.86</v>
      </c>
      <c r="K30" s="1">
        <f t="shared" si="3"/>
        <v>82.14</v>
      </c>
      <c r="L30" s="1">
        <f t="shared" si="10"/>
        <v>21.279792746113991</v>
      </c>
      <c r="M30" s="1">
        <f t="shared" si="4"/>
        <v>191.66000000000003</v>
      </c>
      <c r="N30" s="1">
        <f t="shared" si="5"/>
        <v>49.652849740932652</v>
      </c>
      <c r="O30" s="1">
        <f t="shared" si="9"/>
        <v>273.8</v>
      </c>
      <c r="P30" s="1"/>
      <c r="Q30" s="23" t="s">
        <v>259</v>
      </c>
    </row>
    <row r="31" spans="1:17" x14ac:dyDescent="0.25">
      <c r="A31" t="s">
        <v>186</v>
      </c>
      <c r="B31">
        <v>386</v>
      </c>
      <c r="C31">
        <f t="shared" si="11"/>
        <v>3.86</v>
      </c>
      <c r="D31" s="1">
        <v>1632</v>
      </c>
      <c r="E31" s="1">
        <f t="shared" si="6"/>
        <v>326.40000000000003</v>
      </c>
      <c r="F31" s="1">
        <f t="shared" si="7"/>
        <v>84.559585492227995</v>
      </c>
      <c r="G31" s="1">
        <f t="shared" si="1"/>
        <v>326.40000000000003</v>
      </c>
      <c r="I31">
        <v>386</v>
      </c>
      <c r="J31">
        <f t="shared" si="2"/>
        <v>3.86</v>
      </c>
      <c r="K31" s="1">
        <f t="shared" si="3"/>
        <v>97.92</v>
      </c>
      <c r="L31" s="1">
        <f t="shared" si="10"/>
        <v>25.367875647668395</v>
      </c>
      <c r="M31" s="1">
        <f t="shared" si="4"/>
        <v>228.48000000000002</v>
      </c>
      <c r="N31" s="1">
        <f t="shared" si="5"/>
        <v>59.19170984455959</v>
      </c>
      <c r="O31" s="1">
        <f t="shared" si="9"/>
        <v>326.40000000000003</v>
      </c>
      <c r="P31" s="1"/>
      <c r="Q31" s="23" t="s">
        <v>259</v>
      </c>
    </row>
    <row r="32" spans="1:17" x14ac:dyDescent="0.25">
      <c r="P32" s="1"/>
    </row>
    <row r="33" spans="12:12" x14ac:dyDescent="0.25">
      <c r="L33" s="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71"/>
  <sheetViews>
    <sheetView zoomScale="55" zoomScaleNormal="55" workbookViewId="0">
      <selection activeCell="I21" sqref="I21"/>
    </sheetView>
  </sheetViews>
  <sheetFormatPr defaultRowHeight="15" x14ac:dyDescent="0.25"/>
  <cols>
    <col min="3" max="3" width="11.28515625" customWidth="1"/>
  </cols>
  <sheetData>
    <row r="1" spans="1:5" s="25" customFormat="1" x14ac:dyDescent="0.25">
      <c r="A1" s="25" t="s">
        <v>0</v>
      </c>
      <c r="B1" s="25" t="s">
        <v>192</v>
      </c>
      <c r="C1" s="25" t="s">
        <v>193</v>
      </c>
      <c r="E1" s="25" t="s">
        <v>275</v>
      </c>
    </row>
    <row r="2" spans="1:5" x14ac:dyDescent="0.25">
      <c r="A2" t="s">
        <v>3</v>
      </c>
      <c r="B2">
        <v>64</v>
      </c>
      <c r="C2">
        <v>92</v>
      </c>
      <c r="E2">
        <f>C2-B2</f>
        <v>28</v>
      </c>
    </row>
    <row r="3" spans="1:5" x14ac:dyDescent="0.25">
      <c r="A3" t="s">
        <v>13</v>
      </c>
      <c r="B3">
        <v>95</v>
      </c>
      <c r="C3">
        <v>100</v>
      </c>
      <c r="E3">
        <f t="shared" ref="E3:E61" si="0">C3-B3</f>
        <v>5</v>
      </c>
    </row>
    <row r="4" spans="1:5" x14ac:dyDescent="0.25">
      <c r="A4" t="s">
        <v>68</v>
      </c>
      <c r="B4">
        <v>97</v>
      </c>
      <c r="C4">
        <v>89</v>
      </c>
      <c r="E4">
        <f t="shared" si="0"/>
        <v>-8</v>
      </c>
    </row>
    <row r="5" spans="1:5" x14ac:dyDescent="0.25">
      <c r="A5" t="s">
        <v>69</v>
      </c>
      <c r="B5">
        <v>96</v>
      </c>
      <c r="C5">
        <v>88</v>
      </c>
      <c r="E5">
        <f t="shared" si="0"/>
        <v>-8</v>
      </c>
    </row>
    <row r="6" spans="1:5" x14ac:dyDescent="0.25">
      <c r="A6" t="s">
        <v>70</v>
      </c>
      <c r="B6">
        <v>99</v>
      </c>
      <c r="C6">
        <v>99</v>
      </c>
      <c r="E6">
        <f t="shared" si="0"/>
        <v>0</v>
      </c>
    </row>
    <row r="7" spans="1:5" x14ac:dyDescent="0.25">
      <c r="A7" t="s">
        <v>74</v>
      </c>
      <c r="B7">
        <v>18</v>
      </c>
      <c r="C7">
        <v>80</v>
      </c>
      <c r="E7">
        <f t="shared" si="0"/>
        <v>62</v>
      </c>
    </row>
    <row r="8" spans="1:5" x14ac:dyDescent="0.25">
      <c r="A8" t="s">
        <v>79</v>
      </c>
      <c r="B8">
        <v>11</v>
      </c>
      <c r="C8">
        <v>94</v>
      </c>
      <c r="E8">
        <f t="shared" si="0"/>
        <v>83</v>
      </c>
    </row>
    <row r="9" spans="1:5" x14ac:dyDescent="0.25">
      <c r="A9" t="s">
        <v>80</v>
      </c>
      <c r="B9">
        <v>89</v>
      </c>
      <c r="C9">
        <v>99</v>
      </c>
      <c r="E9">
        <f t="shared" si="0"/>
        <v>10</v>
      </c>
    </row>
    <row r="10" spans="1:5" x14ac:dyDescent="0.25">
      <c r="A10" t="s">
        <v>86</v>
      </c>
      <c r="B10">
        <v>61</v>
      </c>
      <c r="C10">
        <v>73</v>
      </c>
      <c r="E10">
        <f t="shared" si="0"/>
        <v>12</v>
      </c>
    </row>
    <row r="11" spans="1:5" x14ac:dyDescent="0.25">
      <c r="A11" t="s">
        <v>92</v>
      </c>
      <c r="B11">
        <v>19</v>
      </c>
      <c r="C11">
        <v>85</v>
      </c>
      <c r="E11">
        <f t="shared" si="0"/>
        <v>66</v>
      </c>
    </row>
    <row r="12" spans="1:5" x14ac:dyDescent="0.25">
      <c r="A12" t="s">
        <v>93</v>
      </c>
      <c r="B12">
        <v>37</v>
      </c>
      <c r="C12">
        <v>60</v>
      </c>
      <c r="E12">
        <f t="shared" si="0"/>
        <v>23</v>
      </c>
    </row>
    <row r="13" spans="1:5" x14ac:dyDescent="0.25">
      <c r="A13" t="s">
        <v>110</v>
      </c>
      <c r="B13">
        <v>23</v>
      </c>
      <c r="C13">
        <v>99</v>
      </c>
      <c r="E13">
        <f t="shared" si="0"/>
        <v>76</v>
      </c>
    </row>
    <row r="14" spans="1:5" ht="16.5" customHeight="1" x14ac:dyDescent="0.25">
      <c r="A14" t="s">
        <v>120</v>
      </c>
      <c r="B14">
        <v>92</v>
      </c>
      <c r="C14">
        <v>95</v>
      </c>
      <c r="E14">
        <f t="shared" si="0"/>
        <v>3</v>
      </c>
    </row>
    <row r="15" spans="1:5" x14ac:dyDescent="0.25">
      <c r="A15" t="s">
        <v>125</v>
      </c>
      <c r="B15">
        <v>55</v>
      </c>
      <c r="C15">
        <v>90</v>
      </c>
      <c r="E15">
        <f t="shared" si="0"/>
        <v>35</v>
      </c>
    </row>
    <row r="16" spans="1:5" x14ac:dyDescent="0.25">
      <c r="A16" t="s">
        <v>130</v>
      </c>
      <c r="B16">
        <v>2</v>
      </c>
      <c r="C16">
        <v>96</v>
      </c>
      <c r="E16">
        <f t="shared" si="0"/>
        <v>94</v>
      </c>
    </row>
    <row r="17" spans="1:5" x14ac:dyDescent="0.25">
      <c r="A17" t="s">
        <v>145</v>
      </c>
      <c r="B17">
        <v>89</v>
      </c>
      <c r="C17">
        <v>76</v>
      </c>
      <c r="E17">
        <f t="shared" si="0"/>
        <v>-13</v>
      </c>
    </row>
    <row r="18" spans="1:5" x14ac:dyDescent="0.25">
      <c r="A18" t="s">
        <v>144</v>
      </c>
      <c r="B18">
        <v>79</v>
      </c>
      <c r="C18">
        <v>86</v>
      </c>
      <c r="E18">
        <f t="shared" si="0"/>
        <v>7</v>
      </c>
    </row>
    <row r="19" spans="1:5" x14ac:dyDescent="0.25">
      <c r="A19" t="s">
        <v>132</v>
      </c>
      <c r="B19">
        <v>30</v>
      </c>
      <c r="C19">
        <v>75</v>
      </c>
      <c r="E19">
        <f t="shared" si="0"/>
        <v>45</v>
      </c>
    </row>
    <row r="20" spans="1:5" x14ac:dyDescent="0.25">
      <c r="A20" t="s">
        <v>146</v>
      </c>
      <c r="B20">
        <v>100</v>
      </c>
      <c r="C20">
        <v>100</v>
      </c>
      <c r="E20">
        <f t="shared" si="0"/>
        <v>0</v>
      </c>
    </row>
    <row r="21" spans="1:5" x14ac:dyDescent="0.25">
      <c r="A21" t="s">
        <v>147</v>
      </c>
      <c r="B21">
        <v>87</v>
      </c>
      <c r="C21">
        <v>91</v>
      </c>
      <c r="E21">
        <f t="shared" si="0"/>
        <v>4</v>
      </c>
    </row>
    <row r="22" spans="1:5" x14ac:dyDescent="0.25">
      <c r="A22" t="s">
        <v>155</v>
      </c>
      <c r="B22">
        <v>84</v>
      </c>
      <c r="C22">
        <v>94</v>
      </c>
      <c r="E22">
        <f t="shared" si="0"/>
        <v>10</v>
      </c>
    </row>
    <row r="23" spans="1:5" x14ac:dyDescent="0.25">
      <c r="A23" t="s">
        <v>158</v>
      </c>
      <c r="B23">
        <v>98</v>
      </c>
      <c r="C23">
        <v>97</v>
      </c>
      <c r="E23">
        <f t="shared" si="0"/>
        <v>-1</v>
      </c>
    </row>
    <row r="24" spans="1:5" x14ac:dyDescent="0.25">
      <c r="A24" t="s">
        <v>162</v>
      </c>
      <c r="B24">
        <v>96</v>
      </c>
      <c r="C24">
        <v>91</v>
      </c>
      <c r="E24">
        <f t="shared" si="0"/>
        <v>-5</v>
      </c>
    </row>
    <row r="25" spans="1:5" x14ac:dyDescent="0.25">
      <c r="A25" t="s">
        <v>160</v>
      </c>
      <c r="B25">
        <v>94</v>
      </c>
      <c r="C25">
        <v>98</v>
      </c>
      <c r="E25">
        <f t="shared" si="0"/>
        <v>4</v>
      </c>
    </row>
    <row r="26" spans="1:5" x14ac:dyDescent="0.25">
      <c r="A26" t="s">
        <v>173</v>
      </c>
      <c r="B26">
        <v>87</v>
      </c>
      <c r="C26">
        <v>97</v>
      </c>
      <c r="E26">
        <f t="shared" si="0"/>
        <v>10</v>
      </c>
    </row>
    <row r="27" spans="1:5" x14ac:dyDescent="0.25">
      <c r="A27" t="s">
        <v>174</v>
      </c>
      <c r="B27">
        <v>55</v>
      </c>
      <c r="C27">
        <v>91</v>
      </c>
      <c r="E27">
        <f t="shared" si="0"/>
        <v>36</v>
      </c>
    </row>
    <row r="28" spans="1:5" x14ac:dyDescent="0.25">
      <c r="A28" t="s">
        <v>175</v>
      </c>
      <c r="B28">
        <v>55</v>
      </c>
      <c r="C28">
        <v>70</v>
      </c>
      <c r="E28">
        <f t="shared" si="0"/>
        <v>15</v>
      </c>
    </row>
    <row r="29" spans="1:5" x14ac:dyDescent="0.25">
      <c r="A29" t="s">
        <v>187</v>
      </c>
      <c r="B29">
        <v>77</v>
      </c>
      <c r="C29">
        <v>84</v>
      </c>
      <c r="E29">
        <f t="shared" si="0"/>
        <v>7</v>
      </c>
    </row>
    <row r="30" spans="1:5" x14ac:dyDescent="0.25">
      <c r="A30" t="s">
        <v>186</v>
      </c>
      <c r="B30">
        <v>96</v>
      </c>
      <c r="C30">
        <v>94</v>
      </c>
      <c r="E30">
        <f t="shared" si="0"/>
        <v>-2</v>
      </c>
    </row>
    <row r="32" spans="1:5" s="25" customFormat="1" x14ac:dyDescent="0.25">
      <c r="A32" s="25" t="s">
        <v>1</v>
      </c>
      <c r="E32"/>
    </row>
    <row r="33" spans="1:5" x14ac:dyDescent="0.25">
      <c r="A33" t="s">
        <v>3</v>
      </c>
      <c r="B33">
        <v>29</v>
      </c>
      <c r="C33">
        <v>49</v>
      </c>
      <c r="E33">
        <f t="shared" si="0"/>
        <v>20</v>
      </c>
    </row>
    <row r="34" spans="1:5" x14ac:dyDescent="0.25">
      <c r="A34" t="s">
        <v>13</v>
      </c>
      <c r="B34">
        <v>100</v>
      </c>
      <c r="C34">
        <v>100</v>
      </c>
      <c r="E34">
        <f t="shared" si="0"/>
        <v>0</v>
      </c>
    </row>
    <row r="35" spans="1:5" x14ac:dyDescent="0.25">
      <c r="A35" t="s">
        <v>68</v>
      </c>
      <c r="B35">
        <v>80</v>
      </c>
      <c r="C35">
        <v>90</v>
      </c>
      <c r="E35">
        <f t="shared" si="0"/>
        <v>10</v>
      </c>
    </row>
    <row r="36" spans="1:5" x14ac:dyDescent="0.25">
      <c r="A36" t="s">
        <v>69</v>
      </c>
      <c r="B36">
        <v>88</v>
      </c>
      <c r="C36">
        <v>96</v>
      </c>
      <c r="E36">
        <f t="shared" si="0"/>
        <v>8</v>
      </c>
    </row>
    <row r="37" spans="1:5" x14ac:dyDescent="0.25">
      <c r="A37" t="s">
        <v>70</v>
      </c>
      <c r="B37">
        <v>97</v>
      </c>
      <c r="C37">
        <v>99</v>
      </c>
      <c r="E37">
        <f t="shared" si="0"/>
        <v>2</v>
      </c>
    </row>
    <row r="38" spans="1:5" x14ac:dyDescent="0.25">
      <c r="A38" t="s">
        <v>74</v>
      </c>
      <c r="B38">
        <v>10</v>
      </c>
      <c r="C38">
        <v>78</v>
      </c>
      <c r="E38">
        <f t="shared" si="0"/>
        <v>68</v>
      </c>
    </row>
    <row r="39" spans="1:5" x14ac:dyDescent="0.25">
      <c r="A39" t="s">
        <v>79</v>
      </c>
      <c r="B39">
        <v>23</v>
      </c>
      <c r="C39">
        <v>98</v>
      </c>
      <c r="E39">
        <f t="shared" si="0"/>
        <v>75</v>
      </c>
    </row>
    <row r="40" spans="1:5" x14ac:dyDescent="0.25">
      <c r="A40" t="s">
        <v>80</v>
      </c>
      <c r="B40">
        <v>71</v>
      </c>
      <c r="C40">
        <v>100</v>
      </c>
      <c r="E40">
        <f t="shared" si="0"/>
        <v>29</v>
      </c>
    </row>
    <row r="41" spans="1:5" x14ac:dyDescent="0.25">
      <c r="A41" t="s">
        <v>86</v>
      </c>
      <c r="B41">
        <v>18</v>
      </c>
      <c r="C41">
        <v>39</v>
      </c>
      <c r="E41">
        <f t="shared" si="0"/>
        <v>21</v>
      </c>
    </row>
    <row r="42" spans="1:5" x14ac:dyDescent="0.25">
      <c r="A42" t="s">
        <v>92</v>
      </c>
      <c r="B42">
        <v>79</v>
      </c>
      <c r="C42">
        <v>89</v>
      </c>
      <c r="E42">
        <f t="shared" si="0"/>
        <v>10</v>
      </c>
    </row>
    <row r="43" spans="1:5" x14ac:dyDescent="0.25">
      <c r="A43" t="s">
        <v>93</v>
      </c>
      <c r="B43">
        <v>28</v>
      </c>
      <c r="C43">
        <v>77</v>
      </c>
      <c r="E43">
        <f t="shared" si="0"/>
        <v>49</v>
      </c>
    </row>
    <row r="44" spans="1:5" x14ac:dyDescent="0.25">
      <c r="A44" t="s">
        <v>110</v>
      </c>
      <c r="B44">
        <v>80</v>
      </c>
      <c r="C44">
        <v>100</v>
      </c>
      <c r="E44">
        <f t="shared" si="0"/>
        <v>20</v>
      </c>
    </row>
    <row r="45" spans="1:5" x14ac:dyDescent="0.25">
      <c r="A45" t="s">
        <v>120</v>
      </c>
      <c r="B45">
        <v>71</v>
      </c>
      <c r="C45">
        <v>78</v>
      </c>
      <c r="E45">
        <f t="shared" si="0"/>
        <v>7</v>
      </c>
    </row>
    <row r="46" spans="1:5" x14ac:dyDescent="0.25">
      <c r="A46" t="s">
        <v>125</v>
      </c>
      <c r="B46">
        <v>10</v>
      </c>
      <c r="C46">
        <v>88</v>
      </c>
      <c r="E46">
        <f t="shared" si="0"/>
        <v>78</v>
      </c>
    </row>
    <row r="47" spans="1:5" x14ac:dyDescent="0.25">
      <c r="A47" t="s">
        <v>130</v>
      </c>
      <c r="B47">
        <v>5</v>
      </c>
      <c r="C47">
        <v>83</v>
      </c>
      <c r="E47">
        <f t="shared" si="0"/>
        <v>78</v>
      </c>
    </row>
    <row r="48" spans="1:5" x14ac:dyDescent="0.25">
      <c r="A48" t="s">
        <v>145</v>
      </c>
      <c r="B48">
        <v>28</v>
      </c>
      <c r="C48">
        <v>92</v>
      </c>
      <c r="E48">
        <f t="shared" si="0"/>
        <v>64</v>
      </c>
    </row>
    <row r="49" spans="1:5" x14ac:dyDescent="0.25">
      <c r="A49" t="s">
        <v>144</v>
      </c>
      <c r="B49">
        <v>86</v>
      </c>
      <c r="C49">
        <v>87</v>
      </c>
      <c r="E49">
        <f t="shared" si="0"/>
        <v>1</v>
      </c>
    </row>
    <row r="50" spans="1:5" x14ac:dyDescent="0.25">
      <c r="A50" t="s">
        <v>132</v>
      </c>
      <c r="B50">
        <v>63</v>
      </c>
      <c r="C50">
        <v>95</v>
      </c>
      <c r="E50">
        <f t="shared" si="0"/>
        <v>32</v>
      </c>
    </row>
    <row r="51" spans="1:5" x14ac:dyDescent="0.25">
      <c r="A51" t="s">
        <v>146</v>
      </c>
      <c r="B51">
        <v>50</v>
      </c>
      <c r="C51">
        <v>97</v>
      </c>
      <c r="E51">
        <f t="shared" si="0"/>
        <v>47</v>
      </c>
    </row>
    <row r="52" spans="1:5" x14ac:dyDescent="0.25">
      <c r="A52" t="s">
        <v>147</v>
      </c>
      <c r="B52">
        <v>96</v>
      </c>
      <c r="C52">
        <v>98</v>
      </c>
      <c r="E52">
        <f t="shared" si="0"/>
        <v>2</v>
      </c>
    </row>
    <row r="53" spans="1:5" x14ac:dyDescent="0.25">
      <c r="A53" t="s">
        <v>155</v>
      </c>
      <c r="B53">
        <v>80</v>
      </c>
      <c r="C53">
        <v>98</v>
      </c>
      <c r="E53">
        <f t="shared" si="0"/>
        <v>18</v>
      </c>
    </row>
    <row r="54" spans="1:5" x14ac:dyDescent="0.25">
      <c r="A54" t="s">
        <v>158</v>
      </c>
      <c r="B54">
        <v>97</v>
      </c>
      <c r="C54">
        <v>98</v>
      </c>
      <c r="E54">
        <f t="shared" si="0"/>
        <v>1</v>
      </c>
    </row>
    <row r="55" spans="1:5" x14ac:dyDescent="0.25">
      <c r="A55" t="s">
        <v>162</v>
      </c>
      <c r="B55">
        <v>98</v>
      </c>
      <c r="C55">
        <v>98</v>
      </c>
      <c r="E55">
        <f t="shared" si="0"/>
        <v>0</v>
      </c>
    </row>
    <row r="56" spans="1:5" x14ac:dyDescent="0.25">
      <c r="A56" t="s">
        <v>160</v>
      </c>
      <c r="B56">
        <v>94</v>
      </c>
      <c r="C56">
        <v>95</v>
      </c>
      <c r="E56">
        <f t="shared" si="0"/>
        <v>1</v>
      </c>
    </row>
    <row r="57" spans="1:5" x14ac:dyDescent="0.25">
      <c r="A57" t="s">
        <v>173</v>
      </c>
      <c r="B57">
        <v>81</v>
      </c>
      <c r="C57">
        <v>89</v>
      </c>
      <c r="E57">
        <f t="shared" si="0"/>
        <v>8</v>
      </c>
    </row>
    <row r="58" spans="1:5" x14ac:dyDescent="0.25">
      <c r="A58" t="s">
        <v>174</v>
      </c>
      <c r="B58">
        <v>99</v>
      </c>
      <c r="C58">
        <v>80</v>
      </c>
      <c r="E58">
        <f t="shared" si="0"/>
        <v>-19</v>
      </c>
    </row>
    <row r="59" spans="1:5" x14ac:dyDescent="0.25">
      <c r="A59" t="s">
        <v>175</v>
      </c>
      <c r="B59">
        <v>22</v>
      </c>
      <c r="C59">
        <v>68</v>
      </c>
      <c r="E59">
        <f t="shared" si="0"/>
        <v>46</v>
      </c>
    </row>
    <row r="60" spans="1:5" x14ac:dyDescent="0.25">
      <c r="A60" t="s">
        <v>187</v>
      </c>
      <c r="B60">
        <v>18</v>
      </c>
      <c r="C60">
        <v>86</v>
      </c>
      <c r="E60">
        <f t="shared" si="0"/>
        <v>68</v>
      </c>
    </row>
    <row r="61" spans="1:5" x14ac:dyDescent="0.25">
      <c r="A61" t="s">
        <v>186</v>
      </c>
      <c r="B61">
        <v>50</v>
      </c>
      <c r="C61">
        <v>98</v>
      </c>
      <c r="E61">
        <f t="shared" si="0"/>
        <v>48</v>
      </c>
    </row>
    <row r="63" spans="1:5" x14ac:dyDescent="0.25">
      <c r="A63" s="25"/>
      <c r="B63" s="37"/>
      <c r="C63" s="37"/>
      <c r="D63" s="37"/>
      <c r="E63" s="37"/>
    </row>
    <row r="65" spans="1:5" x14ac:dyDescent="0.25">
      <c r="A65" s="25"/>
      <c r="B65" s="37"/>
      <c r="C65" s="37"/>
      <c r="D65" s="37"/>
      <c r="E65" s="12"/>
    </row>
    <row r="67" spans="1:5" x14ac:dyDescent="0.25">
      <c r="A67" s="25"/>
      <c r="B67" s="12"/>
      <c r="C67" s="12"/>
      <c r="E67" s="12"/>
    </row>
    <row r="68" spans="1:5" x14ac:dyDescent="0.25">
      <c r="A68" s="25"/>
      <c r="B68" s="12"/>
      <c r="C68" s="12"/>
      <c r="E68" s="12"/>
    </row>
    <row r="69" spans="1:5" x14ac:dyDescent="0.25">
      <c r="B69" s="12"/>
      <c r="C69" s="12"/>
    </row>
    <row r="70" spans="1:5" x14ac:dyDescent="0.25">
      <c r="A70" s="25"/>
      <c r="B70" s="12"/>
      <c r="C70" s="12"/>
      <c r="E70" s="12"/>
    </row>
    <row r="71" spans="1:5" x14ac:dyDescent="0.25">
      <c r="A71" s="25"/>
      <c r="B71" s="12"/>
      <c r="C71" s="12"/>
      <c r="E71" s="12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69"/>
  <sheetViews>
    <sheetView zoomScale="55" zoomScaleNormal="55" workbookViewId="0">
      <selection activeCell="S35" sqref="S35"/>
    </sheetView>
  </sheetViews>
  <sheetFormatPr defaultRowHeight="15" x14ac:dyDescent="0.25"/>
  <sheetData>
    <row r="1" spans="1:14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198</v>
      </c>
      <c r="G1" s="25" t="s">
        <v>199</v>
      </c>
      <c r="H1" s="25" t="s">
        <v>200</v>
      </c>
      <c r="I1" s="25" t="s">
        <v>201</v>
      </c>
      <c r="K1" s="25" t="s">
        <v>202</v>
      </c>
      <c r="M1" s="25" t="s">
        <v>203</v>
      </c>
      <c r="N1" s="25" t="s">
        <v>204</v>
      </c>
    </row>
    <row r="2" spans="1:14" x14ac:dyDescent="0.25">
      <c r="A2" t="s">
        <v>3</v>
      </c>
      <c r="B2">
        <v>17</v>
      </c>
      <c r="C2">
        <v>21</v>
      </c>
      <c r="D2">
        <v>15</v>
      </c>
      <c r="E2">
        <v>15</v>
      </c>
      <c r="F2">
        <v>13</v>
      </c>
      <c r="G2">
        <v>5</v>
      </c>
      <c r="H2">
        <v>5</v>
      </c>
      <c r="I2">
        <v>8</v>
      </c>
      <c r="K2">
        <f>AVERAGE(B2:I2)</f>
        <v>12.375</v>
      </c>
      <c r="M2">
        <f>AVERAGE(B2:E2)</f>
        <v>17</v>
      </c>
      <c r="N2">
        <f>AVERAGE(F2:I2)</f>
        <v>7.75</v>
      </c>
    </row>
    <row r="3" spans="1:14" x14ac:dyDescent="0.25">
      <c r="A3" t="s">
        <v>13</v>
      </c>
      <c r="B3">
        <v>21</v>
      </c>
      <c r="C3">
        <v>6</v>
      </c>
      <c r="D3">
        <v>5</v>
      </c>
      <c r="E3">
        <v>2</v>
      </c>
      <c r="F3">
        <v>0</v>
      </c>
      <c r="G3">
        <v>0</v>
      </c>
      <c r="H3">
        <v>0</v>
      </c>
      <c r="I3">
        <v>0</v>
      </c>
      <c r="K3">
        <f t="shared" ref="K3:K55" si="0">AVERAGE(B3:I3)</f>
        <v>4.25</v>
      </c>
      <c r="M3">
        <f t="shared" ref="M3:M50" si="1">AVERAGE(B3:E3)</f>
        <v>8.5</v>
      </c>
      <c r="N3">
        <f t="shared" ref="N3:N55" si="2">AVERAGE(F3:I3)</f>
        <v>0</v>
      </c>
    </row>
    <row r="4" spans="1:14" x14ac:dyDescent="0.25">
      <c r="A4" t="s">
        <v>68</v>
      </c>
      <c r="B4" s="4">
        <v>82</v>
      </c>
      <c r="C4" s="4">
        <v>72</v>
      </c>
      <c r="D4" s="4">
        <v>78</v>
      </c>
      <c r="E4" s="4">
        <v>78</v>
      </c>
      <c r="F4" s="4">
        <v>88</v>
      </c>
      <c r="G4" s="4">
        <v>85</v>
      </c>
      <c r="H4" s="4">
        <v>94</v>
      </c>
      <c r="I4" s="4">
        <v>93</v>
      </c>
      <c r="K4">
        <f t="shared" si="0"/>
        <v>83.75</v>
      </c>
      <c r="M4">
        <f t="shared" si="1"/>
        <v>77.5</v>
      </c>
      <c r="N4">
        <f t="shared" si="2"/>
        <v>90</v>
      </c>
    </row>
    <row r="5" spans="1:14" x14ac:dyDescent="0.25">
      <c r="A5" t="s">
        <v>69</v>
      </c>
      <c r="B5" s="4">
        <v>73</v>
      </c>
      <c r="C5" s="4">
        <v>76</v>
      </c>
      <c r="D5" s="4">
        <v>72</v>
      </c>
      <c r="E5" s="4">
        <v>77</v>
      </c>
      <c r="F5" s="4">
        <v>41</v>
      </c>
      <c r="G5" s="4">
        <v>26</v>
      </c>
      <c r="H5" s="4">
        <v>28</v>
      </c>
      <c r="I5" s="4">
        <v>5</v>
      </c>
      <c r="K5">
        <f t="shared" si="0"/>
        <v>49.75</v>
      </c>
      <c r="M5">
        <f t="shared" si="1"/>
        <v>74.5</v>
      </c>
      <c r="N5">
        <f t="shared" si="2"/>
        <v>25</v>
      </c>
    </row>
    <row r="6" spans="1:14" x14ac:dyDescent="0.25">
      <c r="A6" t="s">
        <v>70</v>
      </c>
      <c r="B6" s="4">
        <v>17</v>
      </c>
      <c r="C6" s="4">
        <v>9</v>
      </c>
      <c r="D6" s="4">
        <v>64</v>
      </c>
      <c r="E6" s="4">
        <v>67</v>
      </c>
      <c r="F6" s="4">
        <v>80</v>
      </c>
      <c r="G6" s="4">
        <v>74</v>
      </c>
      <c r="H6" s="4">
        <v>80</v>
      </c>
      <c r="I6" s="4">
        <v>88</v>
      </c>
      <c r="K6">
        <f t="shared" si="0"/>
        <v>59.875</v>
      </c>
      <c r="M6">
        <f t="shared" si="1"/>
        <v>39.25</v>
      </c>
      <c r="N6">
        <f t="shared" si="2"/>
        <v>80.5</v>
      </c>
    </row>
    <row r="7" spans="1:14" x14ac:dyDescent="0.25">
      <c r="A7" t="s">
        <v>74</v>
      </c>
      <c r="B7">
        <v>10</v>
      </c>
      <c r="C7">
        <v>17</v>
      </c>
      <c r="D7">
        <v>21</v>
      </c>
      <c r="E7">
        <v>9</v>
      </c>
      <c r="F7">
        <v>31</v>
      </c>
      <c r="G7">
        <v>34</v>
      </c>
      <c r="H7">
        <v>40</v>
      </c>
      <c r="I7">
        <v>32</v>
      </c>
      <c r="K7">
        <f t="shared" si="0"/>
        <v>24.25</v>
      </c>
      <c r="M7">
        <f t="shared" si="1"/>
        <v>14.25</v>
      </c>
      <c r="N7">
        <f t="shared" si="2"/>
        <v>34.25</v>
      </c>
    </row>
    <row r="8" spans="1:14" x14ac:dyDescent="0.25">
      <c r="A8" t="s">
        <v>79</v>
      </c>
      <c r="B8">
        <v>15</v>
      </c>
      <c r="C8">
        <v>22</v>
      </c>
      <c r="D8">
        <v>25</v>
      </c>
      <c r="E8">
        <v>32</v>
      </c>
      <c r="F8">
        <v>52</v>
      </c>
      <c r="G8">
        <v>48</v>
      </c>
      <c r="H8">
        <v>48</v>
      </c>
      <c r="I8">
        <v>39</v>
      </c>
      <c r="K8">
        <f t="shared" si="0"/>
        <v>35.125</v>
      </c>
      <c r="M8">
        <f t="shared" si="1"/>
        <v>23.5</v>
      </c>
      <c r="N8">
        <f t="shared" si="2"/>
        <v>46.75</v>
      </c>
    </row>
    <row r="9" spans="1:14" x14ac:dyDescent="0.25">
      <c r="A9" t="s">
        <v>80</v>
      </c>
      <c r="B9">
        <v>79</v>
      </c>
      <c r="C9">
        <v>74</v>
      </c>
      <c r="D9">
        <v>63</v>
      </c>
      <c r="E9">
        <v>90</v>
      </c>
      <c r="F9">
        <v>99</v>
      </c>
      <c r="G9">
        <v>74</v>
      </c>
      <c r="H9">
        <v>87</v>
      </c>
      <c r="I9">
        <v>98</v>
      </c>
      <c r="K9">
        <f t="shared" si="0"/>
        <v>83</v>
      </c>
      <c r="M9">
        <f t="shared" si="1"/>
        <v>76.5</v>
      </c>
      <c r="N9">
        <f t="shared" si="2"/>
        <v>89.5</v>
      </c>
    </row>
    <row r="10" spans="1:14" x14ac:dyDescent="0.25">
      <c r="A10" t="s">
        <v>86</v>
      </c>
      <c r="B10">
        <v>57</v>
      </c>
      <c r="C10">
        <v>69</v>
      </c>
      <c r="D10">
        <v>63</v>
      </c>
      <c r="E10">
        <v>71</v>
      </c>
      <c r="F10">
        <v>88</v>
      </c>
      <c r="G10">
        <v>71</v>
      </c>
      <c r="H10">
        <v>64</v>
      </c>
      <c r="I10">
        <v>70</v>
      </c>
      <c r="K10">
        <f t="shared" si="0"/>
        <v>69.125</v>
      </c>
      <c r="M10">
        <f t="shared" si="1"/>
        <v>65</v>
      </c>
      <c r="N10">
        <f t="shared" si="2"/>
        <v>73.25</v>
      </c>
    </row>
    <row r="11" spans="1:14" x14ac:dyDescent="0.25">
      <c r="A11" t="s">
        <v>92</v>
      </c>
      <c r="B11">
        <v>20</v>
      </c>
      <c r="C11">
        <v>8</v>
      </c>
      <c r="D11">
        <v>4</v>
      </c>
      <c r="E11">
        <v>4</v>
      </c>
      <c r="F11">
        <v>1</v>
      </c>
      <c r="G11">
        <v>0</v>
      </c>
      <c r="H11">
        <v>0</v>
      </c>
      <c r="I11">
        <v>0</v>
      </c>
      <c r="K11">
        <f t="shared" si="0"/>
        <v>4.625</v>
      </c>
      <c r="M11">
        <f t="shared" si="1"/>
        <v>9</v>
      </c>
      <c r="N11">
        <f t="shared" si="2"/>
        <v>0.25</v>
      </c>
    </row>
    <row r="12" spans="1:14" x14ac:dyDescent="0.25">
      <c r="A12" t="s">
        <v>93</v>
      </c>
      <c r="B12">
        <v>55</v>
      </c>
      <c r="C12">
        <v>58</v>
      </c>
      <c r="D12">
        <v>63</v>
      </c>
      <c r="E12">
        <v>61</v>
      </c>
      <c r="F12">
        <v>35</v>
      </c>
      <c r="G12">
        <v>48</v>
      </c>
      <c r="H12">
        <v>64</v>
      </c>
      <c r="I12">
        <v>57</v>
      </c>
      <c r="K12">
        <f t="shared" si="0"/>
        <v>55.125</v>
      </c>
      <c r="M12">
        <f t="shared" si="1"/>
        <v>59.25</v>
      </c>
      <c r="N12">
        <f t="shared" si="2"/>
        <v>51</v>
      </c>
    </row>
    <row r="13" spans="1:14" x14ac:dyDescent="0.25">
      <c r="A13" t="s">
        <v>110</v>
      </c>
      <c r="B13">
        <v>48</v>
      </c>
      <c r="C13">
        <v>36</v>
      </c>
      <c r="D13">
        <v>46</v>
      </c>
      <c r="E13">
        <v>41</v>
      </c>
      <c r="F13">
        <v>29</v>
      </c>
      <c r="G13">
        <v>8</v>
      </c>
      <c r="H13">
        <v>20</v>
      </c>
      <c r="I13">
        <v>18</v>
      </c>
      <c r="K13">
        <f t="shared" si="0"/>
        <v>30.75</v>
      </c>
      <c r="M13">
        <f t="shared" si="1"/>
        <v>42.75</v>
      </c>
      <c r="N13">
        <f t="shared" si="2"/>
        <v>18.75</v>
      </c>
    </row>
    <row r="14" spans="1:14" x14ac:dyDescent="0.25">
      <c r="A14" t="s">
        <v>120</v>
      </c>
      <c r="B14">
        <v>63</v>
      </c>
      <c r="C14">
        <v>44</v>
      </c>
      <c r="D14">
        <v>58</v>
      </c>
      <c r="E14">
        <v>61</v>
      </c>
      <c r="F14">
        <v>57</v>
      </c>
      <c r="G14">
        <v>56</v>
      </c>
      <c r="H14">
        <v>57</v>
      </c>
      <c r="I14">
        <v>60</v>
      </c>
      <c r="K14">
        <f t="shared" si="0"/>
        <v>57</v>
      </c>
      <c r="M14">
        <f t="shared" si="1"/>
        <v>56.5</v>
      </c>
      <c r="N14">
        <f t="shared" si="2"/>
        <v>57.5</v>
      </c>
    </row>
    <row r="15" spans="1:14" x14ac:dyDescent="0.25">
      <c r="A15" t="s">
        <v>125</v>
      </c>
      <c r="B15">
        <v>5</v>
      </c>
      <c r="C15">
        <v>15</v>
      </c>
      <c r="D15">
        <v>19</v>
      </c>
      <c r="E15">
        <v>16</v>
      </c>
      <c r="F15">
        <v>2</v>
      </c>
      <c r="G15">
        <v>0</v>
      </c>
      <c r="H15">
        <v>2</v>
      </c>
      <c r="I15">
        <v>0</v>
      </c>
      <c r="K15">
        <f t="shared" si="0"/>
        <v>7.375</v>
      </c>
      <c r="M15">
        <f t="shared" si="1"/>
        <v>13.75</v>
      </c>
      <c r="N15">
        <f t="shared" si="2"/>
        <v>1</v>
      </c>
    </row>
    <row r="16" spans="1:14" x14ac:dyDescent="0.25">
      <c r="A16" t="s">
        <v>130</v>
      </c>
      <c r="B16">
        <v>21</v>
      </c>
      <c r="C16">
        <v>25</v>
      </c>
      <c r="D16">
        <v>30</v>
      </c>
      <c r="E16">
        <v>22</v>
      </c>
      <c r="F16">
        <v>29</v>
      </c>
      <c r="G16">
        <v>32</v>
      </c>
      <c r="H16">
        <v>45</v>
      </c>
      <c r="I16">
        <v>42</v>
      </c>
      <c r="K16">
        <f t="shared" si="0"/>
        <v>30.75</v>
      </c>
      <c r="M16">
        <f t="shared" si="1"/>
        <v>24.5</v>
      </c>
      <c r="N16">
        <f t="shared" si="2"/>
        <v>37</v>
      </c>
    </row>
    <row r="17" spans="1:14" x14ac:dyDescent="0.25">
      <c r="A17" t="s">
        <v>145</v>
      </c>
      <c r="B17" s="7"/>
      <c r="C17">
        <v>50</v>
      </c>
      <c r="D17" s="7"/>
      <c r="E17" s="7"/>
      <c r="F17">
        <v>71</v>
      </c>
      <c r="G17">
        <v>68</v>
      </c>
      <c r="H17">
        <v>64</v>
      </c>
      <c r="I17" s="7"/>
      <c r="K17">
        <f t="shared" si="0"/>
        <v>63.25</v>
      </c>
      <c r="M17">
        <f t="shared" si="1"/>
        <v>50</v>
      </c>
      <c r="N17">
        <f t="shared" si="2"/>
        <v>67.666666666666671</v>
      </c>
    </row>
    <row r="18" spans="1:14" x14ac:dyDescent="0.25">
      <c r="A18" t="s">
        <v>144</v>
      </c>
      <c r="B18">
        <v>40</v>
      </c>
      <c r="C18">
        <v>20</v>
      </c>
      <c r="D18">
        <v>24</v>
      </c>
      <c r="E18">
        <v>21</v>
      </c>
      <c r="F18">
        <v>37</v>
      </c>
      <c r="G18">
        <v>63</v>
      </c>
      <c r="H18">
        <v>30</v>
      </c>
      <c r="I18">
        <v>48</v>
      </c>
      <c r="K18">
        <f t="shared" si="0"/>
        <v>35.375</v>
      </c>
      <c r="M18">
        <f t="shared" si="1"/>
        <v>26.25</v>
      </c>
      <c r="N18">
        <f t="shared" si="2"/>
        <v>44.5</v>
      </c>
    </row>
    <row r="19" spans="1:14" x14ac:dyDescent="0.25">
      <c r="A19" t="s">
        <v>132</v>
      </c>
      <c r="B19">
        <v>47</v>
      </c>
      <c r="C19">
        <v>39</v>
      </c>
      <c r="D19">
        <v>40</v>
      </c>
      <c r="E19">
        <v>60</v>
      </c>
      <c r="F19">
        <v>78</v>
      </c>
      <c r="G19">
        <v>78</v>
      </c>
      <c r="H19">
        <v>72</v>
      </c>
      <c r="I19">
        <v>83</v>
      </c>
      <c r="K19">
        <f t="shared" si="0"/>
        <v>62.125</v>
      </c>
      <c r="M19">
        <f t="shared" si="1"/>
        <v>46.5</v>
      </c>
      <c r="N19">
        <f t="shared" si="2"/>
        <v>77.75</v>
      </c>
    </row>
    <row r="20" spans="1:14" x14ac:dyDescent="0.25">
      <c r="A20" t="s">
        <v>146</v>
      </c>
      <c r="B20">
        <v>51</v>
      </c>
      <c r="C20">
        <v>50</v>
      </c>
      <c r="D20">
        <v>65</v>
      </c>
      <c r="E20">
        <v>25</v>
      </c>
      <c r="F20">
        <v>50</v>
      </c>
      <c r="G20">
        <v>48</v>
      </c>
      <c r="H20">
        <v>51</v>
      </c>
      <c r="I20">
        <v>51</v>
      </c>
      <c r="K20">
        <f>AVERAGE(B20:I20)</f>
        <v>48.875</v>
      </c>
      <c r="M20">
        <f t="shared" si="1"/>
        <v>47.75</v>
      </c>
      <c r="N20">
        <f t="shared" si="2"/>
        <v>50</v>
      </c>
    </row>
    <row r="21" spans="1:14" x14ac:dyDescent="0.25">
      <c r="A21" t="s">
        <v>147</v>
      </c>
      <c r="B21">
        <v>52</v>
      </c>
      <c r="C21">
        <v>75</v>
      </c>
      <c r="D21">
        <v>74</v>
      </c>
      <c r="E21">
        <v>51</v>
      </c>
      <c r="F21">
        <v>82</v>
      </c>
      <c r="G21">
        <v>90</v>
      </c>
      <c r="H21">
        <v>86</v>
      </c>
      <c r="I21">
        <v>78</v>
      </c>
      <c r="K21">
        <f t="shared" si="0"/>
        <v>73.5</v>
      </c>
      <c r="M21">
        <f t="shared" si="1"/>
        <v>63</v>
      </c>
      <c r="N21">
        <f t="shared" si="2"/>
        <v>84</v>
      </c>
    </row>
    <row r="22" spans="1:14" x14ac:dyDescent="0.25">
      <c r="A22" t="s">
        <v>155</v>
      </c>
      <c r="B22">
        <v>83</v>
      </c>
      <c r="C22">
        <v>99</v>
      </c>
      <c r="D22">
        <v>94</v>
      </c>
      <c r="E22">
        <v>81</v>
      </c>
      <c r="F22">
        <v>93</v>
      </c>
      <c r="G22">
        <v>90</v>
      </c>
      <c r="H22">
        <v>75</v>
      </c>
      <c r="I22">
        <v>97</v>
      </c>
      <c r="K22">
        <f t="shared" si="0"/>
        <v>89</v>
      </c>
      <c r="M22">
        <f t="shared" si="1"/>
        <v>89.25</v>
      </c>
      <c r="N22">
        <f t="shared" si="2"/>
        <v>88.75</v>
      </c>
    </row>
    <row r="23" spans="1:14" x14ac:dyDescent="0.25">
      <c r="A23" t="s">
        <v>158</v>
      </c>
      <c r="B23">
        <v>82</v>
      </c>
      <c r="C23">
        <v>59</v>
      </c>
      <c r="D23">
        <v>49</v>
      </c>
      <c r="E23">
        <v>50</v>
      </c>
      <c r="F23">
        <v>33</v>
      </c>
      <c r="G23" s="7"/>
      <c r="H23">
        <v>11</v>
      </c>
      <c r="I23">
        <v>23</v>
      </c>
      <c r="K23">
        <f t="shared" si="0"/>
        <v>43.857142857142854</v>
      </c>
      <c r="M23">
        <f t="shared" si="1"/>
        <v>60</v>
      </c>
      <c r="N23">
        <f t="shared" si="2"/>
        <v>22.333333333333332</v>
      </c>
    </row>
    <row r="24" spans="1:14" x14ac:dyDescent="0.25">
      <c r="A24" t="s">
        <v>162</v>
      </c>
      <c r="B24">
        <v>24</v>
      </c>
      <c r="C24">
        <v>35</v>
      </c>
      <c r="D24">
        <v>21</v>
      </c>
      <c r="E24">
        <v>20</v>
      </c>
      <c r="F24">
        <v>13</v>
      </c>
      <c r="G24">
        <v>22</v>
      </c>
      <c r="H24">
        <v>12</v>
      </c>
      <c r="I24">
        <v>19</v>
      </c>
      <c r="K24">
        <f t="shared" si="0"/>
        <v>20.75</v>
      </c>
      <c r="M24">
        <f t="shared" si="1"/>
        <v>25</v>
      </c>
      <c r="N24">
        <f t="shared" si="2"/>
        <v>16.5</v>
      </c>
    </row>
    <row r="25" spans="1:14" x14ac:dyDescent="0.25">
      <c r="A25" t="s">
        <v>160</v>
      </c>
      <c r="B25">
        <v>23</v>
      </c>
      <c r="C25">
        <v>29</v>
      </c>
      <c r="D25">
        <v>13</v>
      </c>
      <c r="E25">
        <v>22</v>
      </c>
      <c r="F25">
        <v>20</v>
      </c>
      <c r="G25">
        <v>22</v>
      </c>
      <c r="H25">
        <v>15</v>
      </c>
      <c r="I25">
        <v>18</v>
      </c>
      <c r="K25">
        <f t="shared" si="0"/>
        <v>20.25</v>
      </c>
      <c r="M25">
        <f t="shared" si="1"/>
        <v>21.75</v>
      </c>
      <c r="N25">
        <f t="shared" si="2"/>
        <v>18.75</v>
      </c>
    </row>
    <row r="26" spans="1:14" x14ac:dyDescent="0.25">
      <c r="A26" t="s">
        <v>173</v>
      </c>
      <c r="B26">
        <v>73</v>
      </c>
      <c r="C26" s="7"/>
      <c r="D26">
        <v>57</v>
      </c>
      <c r="E26">
        <v>74</v>
      </c>
      <c r="F26">
        <v>72</v>
      </c>
      <c r="G26">
        <v>81</v>
      </c>
      <c r="H26">
        <v>67</v>
      </c>
      <c r="I26">
        <v>70</v>
      </c>
      <c r="K26">
        <f t="shared" si="0"/>
        <v>70.571428571428569</v>
      </c>
      <c r="M26">
        <f t="shared" si="1"/>
        <v>68</v>
      </c>
      <c r="N26">
        <f t="shared" si="2"/>
        <v>72.5</v>
      </c>
    </row>
    <row r="27" spans="1:14" x14ac:dyDescent="0.25">
      <c r="A27" t="s">
        <v>174</v>
      </c>
      <c r="B27">
        <v>38</v>
      </c>
      <c r="C27">
        <v>42</v>
      </c>
      <c r="D27">
        <v>38</v>
      </c>
      <c r="E27">
        <v>34</v>
      </c>
      <c r="F27">
        <v>29</v>
      </c>
      <c r="G27">
        <v>35</v>
      </c>
      <c r="H27">
        <v>33</v>
      </c>
      <c r="I27">
        <v>35</v>
      </c>
      <c r="K27">
        <f t="shared" si="0"/>
        <v>35.5</v>
      </c>
      <c r="M27">
        <f t="shared" si="1"/>
        <v>38</v>
      </c>
      <c r="N27">
        <f t="shared" si="2"/>
        <v>33</v>
      </c>
    </row>
    <row r="28" spans="1:14" x14ac:dyDescent="0.25">
      <c r="A28" t="s">
        <v>175</v>
      </c>
      <c r="B28">
        <v>38</v>
      </c>
      <c r="C28">
        <v>28</v>
      </c>
      <c r="D28">
        <v>34</v>
      </c>
      <c r="E28">
        <v>35</v>
      </c>
      <c r="F28">
        <v>23</v>
      </c>
      <c r="G28">
        <v>36</v>
      </c>
      <c r="H28">
        <v>20</v>
      </c>
      <c r="I28">
        <v>27</v>
      </c>
      <c r="K28">
        <f t="shared" si="0"/>
        <v>30.125</v>
      </c>
      <c r="M28">
        <f t="shared" si="1"/>
        <v>33.75</v>
      </c>
      <c r="N28">
        <f t="shared" si="2"/>
        <v>26.5</v>
      </c>
    </row>
    <row r="29" spans="1:14" x14ac:dyDescent="0.25">
      <c r="A29" t="s">
        <v>187</v>
      </c>
      <c r="B29">
        <v>32</v>
      </c>
      <c r="C29">
        <v>37</v>
      </c>
      <c r="D29">
        <v>21</v>
      </c>
      <c r="E29">
        <v>28</v>
      </c>
      <c r="F29">
        <v>41</v>
      </c>
      <c r="G29">
        <v>44</v>
      </c>
      <c r="H29">
        <v>36</v>
      </c>
      <c r="I29">
        <v>29</v>
      </c>
      <c r="K29">
        <f t="shared" si="0"/>
        <v>33.5</v>
      </c>
      <c r="M29">
        <f t="shared" si="1"/>
        <v>29.5</v>
      </c>
      <c r="N29">
        <f t="shared" si="2"/>
        <v>37.5</v>
      </c>
    </row>
    <row r="30" spans="1:14" x14ac:dyDescent="0.25">
      <c r="A30" t="s">
        <v>186</v>
      </c>
      <c r="B30">
        <v>50</v>
      </c>
      <c r="C30">
        <v>41</v>
      </c>
      <c r="D30">
        <v>8</v>
      </c>
      <c r="E30">
        <v>96</v>
      </c>
      <c r="F30">
        <v>38</v>
      </c>
      <c r="G30">
        <v>40</v>
      </c>
      <c r="H30">
        <v>28</v>
      </c>
      <c r="I30">
        <v>23</v>
      </c>
      <c r="K30">
        <f t="shared" si="0"/>
        <v>40.5</v>
      </c>
      <c r="M30">
        <f t="shared" si="1"/>
        <v>48.75</v>
      </c>
      <c r="N30">
        <f t="shared" si="2"/>
        <v>32.25</v>
      </c>
    </row>
    <row r="32" spans="1:14" s="25" customFormat="1" x14ac:dyDescent="0.25">
      <c r="A32" s="25" t="s">
        <v>1</v>
      </c>
    </row>
    <row r="33" spans="1:14" x14ac:dyDescent="0.25">
      <c r="A33" t="s">
        <v>3</v>
      </c>
      <c r="B33">
        <v>45</v>
      </c>
      <c r="C33">
        <v>19</v>
      </c>
      <c r="D33">
        <v>18</v>
      </c>
      <c r="E33">
        <v>26</v>
      </c>
      <c r="F33">
        <v>29</v>
      </c>
      <c r="G33">
        <v>7</v>
      </c>
      <c r="H33">
        <v>9</v>
      </c>
      <c r="I33">
        <v>22</v>
      </c>
      <c r="K33">
        <f t="shared" si="0"/>
        <v>21.875</v>
      </c>
      <c r="M33">
        <f t="shared" si="1"/>
        <v>27</v>
      </c>
      <c r="N33">
        <f t="shared" si="2"/>
        <v>16.75</v>
      </c>
    </row>
    <row r="34" spans="1:14" x14ac:dyDescent="0.25">
      <c r="A34" t="s">
        <v>13</v>
      </c>
      <c r="B34">
        <v>65</v>
      </c>
      <c r="D34">
        <v>68</v>
      </c>
      <c r="E34">
        <v>63</v>
      </c>
      <c r="F34">
        <v>57</v>
      </c>
      <c r="G34">
        <v>43</v>
      </c>
      <c r="H34">
        <v>71</v>
      </c>
      <c r="I34">
        <v>59</v>
      </c>
      <c r="K34">
        <f t="shared" si="0"/>
        <v>60.857142857142854</v>
      </c>
      <c r="M34">
        <f t="shared" si="1"/>
        <v>65.333333333333329</v>
      </c>
      <c r="N34">
        <f t="shared" si="2"/>
        <v>57.5</v>
      </c>
    </row>
    <row r="35" spans="1:14" x14ac:dyDescent="0.25">
      <c r="A35" t="s">
        <v>68</v>
      </c>
      <c r="B35">
        <v>80</v>
      </c>
      <c r="C35">
        <v>85</v>
      </c>
      <c r="D35">
        <v>93</v>
      </c>
      <c r="E35">
        <v>96</v>
      </c>
      <c r="F35">
        <v>95</v>
      </c>
      <c r="G35">
        <v>96</v>
      </c>
      <c r="H35">
        <v>98</v>
      </c>
      <c r="I35">
        <v>96</v>
      </c>
      <c r="K35">
        <f t="shared" si="0"/>
        <v>92.375</v>
      </c>
      <c r="M35">
        <f t="shared" si="1"/>
        <v>88.5</v>
      </c>
      <c r="N35">
        <f t="shared" si="2"/>
        <v>96.25</v>
      </c>
    </row>
    <row r="36" spans="1:14" x14ac:dyDescent="0.25">
      <c r="A36" t="s">
        <v>69</v>
      </c>
      <c r="B36">
        <v>19</v>
      </c>
      <c r="C36">
        <v>22</v>
      </c>
      <c r="D36">
        <v>3</v>
      </c>
      <c r="E36">
        <v>2</v>
      </c>
      <c r="F36">
        <v>12</v>
      </c>
      <c r="G36">
        <v>2</v>
      </c>
      <c r="H36">
        <v>2</v>
      </c>
      <c r="I36">
        <v>2</v>
      </c>
      <c r="K36">
        <f t="shared" si="0"/>
        <v>8</v>
      </c>
      <c r="M36">
        <f t="shared" si="1"/>
        <v>11.5</v>
      </c>
      <c r="N36">
        <f t="shared" si="2"/>
        <v>4.5</v>
      </c>
    </row>
    <row r="37" spans="1:14" x14ac:dyDescent="0.25">
      <c r="A37" t="s">
        <v>70</v>
      </c>
      <c r="B37">
        <v>83</v>
      </c>
      <c r="C37">
        <v>77</v>
      </c>
      <c r="D37">
        <v>71</v>
      </c>
      <c r="E37">
        <v>85</v>
      </c>
      <c r="F37">
        <v>89</v>
      </c>
      <c r="G37">
        <v>78</v>
      </c>
      <c r="H37">
        <v>76</v>
      </c>
      <c r="I37">
        <v>80</v>
      </c>
      <c r="K37">
        <f t="shared" si="0"/>
        <v>79.875</v>
      </c>
      <c r="M37">
        <f t="shared" si="1"/>
        <v>79</v>
      </c>
      <c r="N37">
        <f t="shared" si="2"/>
        <v>80.75</v>
      </c>
    </row>
    <row r="38" spans="1:14" x14ac:dyDescent="0.25">
      <c r="A38" t="s">
        <v>74</v>
      </c>
      <c r="B38">
        <v>51</v>
      </c>
      <c r="C38">
        <v>55</v>
      </c>
      <c r="D38">
        <v>50</v>
      </c>
      <c r="E38">
        <v>51</v>
      </c>
      <c r="F38">
        <v>47</v>
      </c>
      <c r="G38">
        <v>53</v>
      </c>
      <c r="H38">
        <v>69</v>
      </c>
      <c r="I38">
        <v>51</v>
      </c>
      <c r="K38">
        <f t="shared" si="0"/>
        <v>53.375</v>
      </c>
      <c r="M38">
        <f t="shared" si="1"/>
        <v>51.75</v>
      </c>
      <c r="N38">
        <f t="shared" si="2"/>
        <v>55</v>
      </c>
    </row>
    <row r="39" spans="1:14" x14ac:dyDescent="0.25">
      <c r="A39" t="s">
        <v>79</v>
      </c>
      <c r="B39">
        <v>20</v>
      </c>
      <c r="C39">
        <v>12</v>
      </c>
      <c r="D39">
        <v>24</v>
      </c>
      <c r="E39">
        <v>42</v>
      </c>
      <c r="F39">
        <v>88</v>
      </c>
      <c r="G39">
        <v>75</v>
      </c>
      <c r="H39">
        <v>62</v>
      </c>
      <c r="I39">
        <v>70</v>
      </c>
      <c r="K39">
        <f t="shared" si="0"/>
        <v>49.125</v>
      </c>
      <c r="M39">
        <f t="shared" si="1"/>
        <v>24.5</v>
      </c>
      <c r="N39">
        <f t="shared" si="2"/>
        <v>73.75</v>
      </c>
    </row>
    <row r="40" spans="1:14" x14ac:dyDescent="0.25">
      <c r="A40" t="s">
        <v>80</v>
      </c>
      <c r="B40">
        <v>70</v>
      </c>
      <c r="C40">
        <v>83</v>
      </c>
      <c r="D40">
        <v>99</v>
      </c>
      <c r="E40">
        <v>77</v>
      </c>
      <c r="F40">
        <v>69</v>
      </c>
      <c r="G40">
        <v>55</v>
      </c>
      <c r="H40">
        <v>57</v>
      </c>
      <c r="I40">
        <v>49</v>
      </c>
      <c r="K40">
        <f t="shared" si="0"/>
        <v>69.875</v>
      </c>
      <c r="M40">
        <f t="shared" si="1"/>
        <v>82.25</v>
      </c>
      <c r="N40">
        <f t="shared" si="2"/>
        <v>57.5</v>
      </c>
    </row>
    <row r="41" spans="1:14" x14ac:dyDescent="0.25">
      <c r="A41" t="s">
        <v>86</v>
      </c>
      <c r="B41">
        <v>22</v>
      </c>
      <c r="C41">
        <v>52</v>
      </c>
      <c r="D41">
        <v>42</v>
      </c>
      <c r="E41">
        <v>47</v>
      </c>
      <c r="F41">
        <v>39</v>
      </c>
      <c r="G41">
        <v>59</v>
      </c>
      <c r="H41">
        <v>57</v>
      </c>
      <c r="I41">
        <v>59</v>
      </c>
      <c r="K41">
        <f t="shared" si="0"/>
        <v>47.125</v>
      </c>
      <c r="M41">
        <f t="shared" si="1"/>
        <v>40.75</v>
      </c>
      <c r="N41">
        <f t="shared" si="2"/>
        <v>53.5</v>
      </c>
    </row>
    <row r="42" spans="1:14" x14ac:dyDescent="0.25">
      <c r="A42" t="s">
        <v>92</v>
      </c>
      <c r="B42">
        <v>57</v>
      </c>
      <c r="C42">
        <v>52</v>
      </c>
      <c r="D42">
        <v>37</v>
      </c>
      <c r="E42">
        <v>20</v>
      </c>
      <c r="F42">
        <v>16</v>
      </c>
      <c r="G42">
        <v>12</v>
      </c>
      <c r="H42">
        <v>0</v>
      </c>
      <c r="I42">
        <v>0</v>
      </c>
      <c r="K42">
        <f t="shared" si="0"/>
        <v>24.25</v>
      </c>
      <c r="M42">
        <f t="shared" si="1"/>
        <v>41.5</v>
      </c>
      <c r="N42">
        <f t="shared" si="2"/>
        <v>7</v>
      </c>
    </row>
    <row r="43" spans="1:14" x14ac:dyDescent="0.25">
      <c r="A43" t="s">
        <v>93</v>
      </c>
      <c r="B43">
        <v>26</v>
      </c>
      <c r="C43">
        <v>54</v>
      </c>
      <c r="D43">
        <v>15</v>
      </c>
      <c r="E43">
        <v>34</v>
      </c>
      <c r="F43">
        <v>24</v>
      </c>
      <c r="G43">
        <v>10</v>
      </c>
      <c r="H43">
        <v>6</v>
      </c>
      <c r="I43">
        <v>9</v>
      </c>
      <c r="K43">
        <f t="shared" si="0"/>
        <v>22.25</v>
      </c>
      <c r="M43">
        <f t="shared" si="1"/>
        <v>32.25</v>
      </c>
      <c r="N43">
        <f t="shared" si="2"/>
        <v>12.25</v>
      </c>
    </row>
    <row r="44" spans="1:14" x14ac:dyDescent="0.25">
      <c r="A44" t="s">
        <v>110</v>
      </c>
      <c r="B44">
        <v>69</v>
      </c>
      <c r="C44">
        <v>22</v>
      </c>
      <c r="D44">
        <v>18</v>
      </c>
      <c r="E44">
        <v>21</v>
      </c>
      <c r="F44">
        <v>22</v>
      </c>
      <c r="G44">
        <v>42</v>
      </c>
      <c r="H44">
        <v>71</v>
      </c>
      <c r="I44">
        <v>81</v>
      </c>
      <c r="K44">
        <f t="shared" si="0"/>
        <v>43.25</v>
      </c>
      <c r="M44">
        <f t="shared" si="1"/>
        <v>32.5</v>
      </c>
      <c r="N44">
        <f t="shared" si="2"/>
        <v>54</v>
      </c>
    </row>
    <row r="45" spans="1:14" x14ac:dyDescent="0.25">
      <c r="A45" t="s">
        <v>120</v>
      </c>
      <c r="B45">
        <v>33</v>
      </c>
      <c r="C45">
        <v>32</v>
      </c>
      <c r="D45">
        <v>36</v>
      </c>
      <c r="E45" s="7"/>
      <c r="F45">
        <v>44</v>
      </c>
      <c r="G45">
        <v>42</v>
      </c>
      <c r="H45">
        <v>54</v>
      </c>
      <c r="I45">
        <v>49</v>
      </c>
      <c r="K45">
        <f t="shared" si="0"/>
        <v>41.428571428571431</v>
      </c>
      <c r="M45">
        <f t="shared" si="1"/>
        <v>33.666666666666664</v>
      </c>
      <c r="N45">
        <f t="shared" si="2"/>
        <v>47.25</v>
      </c>
    </row>
    <row r="46" spans="1:14" x14ac:dyDescent="0.25">
      <c r="A46" t="s">
        <v>125</v>
      </c>
      <c r="B46">
        <v>14</v>
      </c>
      <c r="C46">
        <v>8</v>
      </c>
      <c r="D46">
        <v>12</v>
      </c>
      <c r="E46">
        <v>16</v>
      </c>
      <c r="F46">
        <v>2</v>
      </c>
      <c r="G46">
        <v>0</v>
      </c>
      <c r="H46">
        <v>0</v>
      </c>
      <c r="I46">
        <v>0</v>
      </c>
      <c r="K46">
        <f t="shared" si="0"/>
        <v>6.5</v>
      </c>
      <c r="M46">
        <f t="shared" si="1"/>
        <v>12.5</v>
      </c>
      <c r="N46">
        <f t="shared" si="2"/>
        <v>0.5</v>
      </c>
    </row>
    <row r="47" spans="1:14" x14ac:dyDescent="0.25">
      <c r="A47" t="s">
        <v>130</v>
      </c>
      <c r="B47">
        <v>6</v>
      </c>
      <c r="C47">
        <v>5</v>
      </c>
      <c r="D47">
        <v>9</v>
      </c>
      <c r="E47">
        <v>8</v>
      </c>
      <c r="F47">
        <v>38</v>
      </c>
      <c r="G47">
        <v>36</v>
      </c>
      <c r="H47">
        <v>46</v>
      </c>
      <c r="I47">
        <v>37</v>
      </c>
      <c r="K47">
        <f t="shared" si="0"/>
        <v>23.125</v>
      </c>
      <c r="M47">
        <f t="shared" si="1"/>
        <v>7</v>
      </c>
      <c r="N47">
        <f t="shared" si="2"/>
        <v>39.25</v>
      </c>
    </row>
    <row r="48" spans="1:14" x14ac:dyDescent="0.25">
      <c r="A48" t="s">
        <v>145</v>
      </c>
      <c r="B48">
        <v>78</v>
      </c>
      <c r="C48">
        <v>80</v>
      </c>
      <c r="D48">
        <v>84</v>
      </c>
      <c r="E48">
        <v>91</v>
      </c>
      <c r="F48">
        <v>90</v>
      </c>
      <c r="G48">
        <v>87</v>
      </c>
      <c r="H48">
        <v>88</v>
      </c>
      <c r="I48">
        <v>87</v>
      </c>
      <c r="K48">
        <f t="shared" si="0"/>
        <v>85.625</v>
      </c>
      <c r="M48">
        <f t="shared" si="1"/>
        <v>83.25</v>
      </c>
      <c r="N48">
        <f t="shared" si="2"/>
        <v>88</v>
      </c>
    </row>
    <row r="49" spans="1:14" x14ac:dyDescent="0.25">
      <c r="A49" t="s">
        <v>144</v>
      </c>
      <c r="B49">
        <v>61</v>
      </c>
      <c r="C49">
        <v>52</v>
      </c>
      <c r="D49">
        <v>58</v>
      </c>
      <c r="E49">
        <v>64</v>
      </c>
      <c r="F49">
        <v>62</v>
      </c>
      <c r="G49">
        <v>55</v>
      </c>
      <c r="H49">
        <v>58</v>
      </c>
      <c r="I49" s="7"/>
      <c r="K49">
        <f t="shared" si="0"/>
        <v>58.571428571428569</v>
      </c>
      <c r="M49">
        <f t="shared" si="1"/>
        <v>58.75</v>
      </c>
      <c r="N49">
        <f t="shared" si="2"/>
        <v>58.333333333333336</v>
      </c>
    </row>
    <row r="50" spans="1:14" x14ac:dyDescent="0.25">
      <c r="A50" t="s">
        <v>132</v>
      </c>
      <c r="B50">
        <v>75</v>
      </c>
      <c r="C50">
        <v>71</v>
      </c>
      <c r="D50">
        <v>85</v>
      </c>
      <c r="E50">
        <v>75</v>
      </c>
      <c r="F50">
        <v>91</v>
      </c>
      <c r="G50">
        <v>87</v>
      </c>
      <c r="H50">
        <v>85</v>
      </c>
      <c r="I50">
        <v>85</v>
      </c>
      <c r="K50">
        <f t="shared" si="0"/>
        <v>81.75</v>
      </c>
      <c r="M50">
        <f t="shared" si="1"/>
        <v>76.5</v>
      </c>
      <c r="N50">
        <f t="shared" si="2"/>
        <v>87</v>
      </c>
    </row>
    <row r="51" spans="1:14" x14ac:dyDescent="0.25">
      <c r="A51" t="s">
        <v>146</v>
      </c>
      <c r="B51">
        <v>29</v>
      </c>
      <c r="C51">
        <v>24</v>
      </c>
      <c r="D51">
        <v>21</v>
      </c>
      <c r="E51">
        <v>41</v>
      </c>
      <c r="F51">
        <v>38</v>
      </c>
      <c r="G51">
        <v>49</v>
      </c>
      <c r="H51">
        <v>52</v>
      </c>
      <c r="I51">
        <v>53</v>
      </c>
      <c r="K51">
        <f t="shared" si="0"/>
        <v>38.375</v>
      </c>
      <c r="M51">
        <f>AVERAGE(B20:E20)</f>
        <v>47.75</v>
      </c>
      <c r="N51">
        <f t="shared" si="2"/>
        <v>48</v>
      </c>
    </row>
    <row r="52" spans="1:14" x14ac:dyDescent="0.25">
      <c r="A52" t="s">
        <v>147</v>
      </c>
      <c r="B52">
        <v>79</v>
      </c>
      <c r="C52">
        <v>77</v>
      </c>
      <c r="D52">
        <v>79</v>
      </c>
      <c r="E52">
        <v>84</v>
      </c>
      <c r="F52">
        <v>83</v>
      </c>
      <c r="G52">
        <v>84</v>
      </c>
      <c r="H52">
        <v>91</v>
      </c>
      <c r="I52">
        <v>93</v>
      </c>
      <c r="K52">
        <f t="shared" si="0"/>
        <v>83.75</v>
      </c>
      <c r="M52">
        <f t="shared" ref="M52:M61" si="3">AVERAGE(B52:E52)</f>
        <v>79.75</v>
      </c>
      <c r="N52">
        <f t="shared" si="2"/>
        <v>87.75</v>
      </c>
    </row>
    <row r="53" spans="1:14" x14ac:dyDescent="0.25">
      <c r="A53" t="s">
        <v>155</v>
      </c>
      <c r="B53">
        <v>6</v>
      </c>
      <c r="C53">
        <v>1</v>
      </c>
      <c r="D53">
        <v>17</v>
      </c>
      <c r="E53" s="7"/>
      <c r="F53">
        <v>1</v>
      </c>
      <c r="G53">
        <v>0</v>
      </c>
      <c r="H53">
        <v>0</v>
      </c>
      <c r="I53">
        <v>0</v>
      </c>
      <c r="K53">
        <f t="shared" si="0"/>
        <v>3.5714285714285716</v>
      </c>
      <c r="M53">
        <f t="shared" si="3"/>
        <v>8</v>
      </c>
      <c r="N53">
        <f t="shared" si="2"/>
        <v>0.25</v>
      </c>
    </row>
    <row r="54" spans="1:14" x14ac:dyDescent="0.25">
      <c r="A54" t="s">
        <v>158</v>
      </c>
      <c r="B54">
        <v>2</v>
      </c>
      <c r="C54">
        <v>17</v>
      </c>
      <c r="D54">
        <v>8</v>
      </c>
      <c r="E54">
        <v>2</v>
      </c>
      <c r="F54">
        <v>11</v>
      </c>
      <c r="G54">
        <v>27</v>
      </c>
      <c r="H54">
        <v>5</v>
      </c>
      <c r="I54">
        <v>11</v>
      </c>
      <c r="K54">
        <f>AVERAGE(C54:I54)</f>
        <v>11.571428571428571</v>
      </c>
      <c r="M54">
        <f t="shared" si="3"/>
        <v>7.25</v>
      </c>
      <c r="N54">
        <f>AVERAGE(F54:I54)</f>
        <v>13.5</v>
      </c>
    </row>
    <row r="55" spans="1:14" x14ac:dyDescent="0.25">
      <c r="A55" t="s">
        <v>162</v>
      </c>
      <c r="B55">
        <v>65</v>
      </c>
      <c r="C55">
        <v>64</v>
      </c>
      <c r="D55">
        <v>64</v>
      </c>
      <c r="E55">
        <v>20</v>
      </c>
      <c r="F55">
        <v>65</v>
      </c>
      <c r="G55">
        <v>23</v>
      </c>
      <c r="H55">
        <v>31</v>
      </c>
      <c r="I55">
        <v>22</v>
      </c>
      <c r="K55">
        <f t="shared" si="0"/>
        <v>44.25</v>
      </c>
      <c r="M55">
        <f t="shared" si="3"/>
        <v>53.25</v>
      </c>
      <c r="N55">
        <f t="shared" si="2"/>
        <v>35.25</v>
      </c>
    </row>
    <row r="56" spans="1:14" x14ac:dyDescent="0.25">
      <c r="A56" t="s">
        <v>160</v>
      </c>
      <c r="B56">
        <v>10</v>
      </c>
      <c r="C56">
        <v>10</v>
      </c>
      <c r="D56">
        <v>9</v>
      </c>
      <c r="E56">
        <v>13</v>
      </c>
      <c r="F56">
        <v>8</v>
      </c>
      <c r="G56">
        <v>12</v>
      </c>
      <c r="H56">
        <v>10</v>
      </c>
      <c r="I56">
        <v>14</v>
      </c>
      <c r="K56">
        <f t="shared" ref="K56:K61" si="4">AVERAGE(B56:I56)</f>
        <v>10.75</v>
      </c>
      <c r="M56">
        <f t="shared" si="3"/>
        <v>10.5</v>
      </c>
      <c r="N56">
        <f t="shared" ref="N56:N61" si="5">AVERAGE(F56:I56)</f>
        <v>11</v>
      </c>
    </row>
    <row r="57" spans="1:14" x14ac:dyDescent="0.25">
      <c r="A57" t="s">
        <v>173</v>
      </c>
      <c r="B57">
        <v>34</v>
      </c>
      <c r="C57">
        <v>51</v>
      </c>
      <c r="D57">
        <v>20</v>
      </c>
      <c r="E57">
        <v>60</v>
      </c>
      <c r="F57">
        <v>47</v>
      </c>
      <c r="G57">
        <v>67</v>
      </c>
      <c r="H57">
        <v>80</v>
      </c>
      <c r="I57">
        <v>80</v>
      </c>
      <c r="K57">
        <f t="shared" si="4"/>
        <v>54.875</v>
      </c>
      <c r="M57">
        <f t="shared" si="3"/>
        <v>41.25</v>
      </c>
      <c r="N57">
        <f t="shared" si="5"/>
        <v>68.5</v>
      </c>
    </row>
    <row r="58" spans="1:14" x14ac:dyDescent="0.25">
      <c r="A58" t="s">
        <v>174</v>
      </c>
      <c r="B58">
        <v>100</v>
      </c>
      <c r="C58">
        <v>99</v>
      </c>
      <c r="D58">
        <v>78</v>
      </c>
      <c r="E58">
        <v>94</v>
      </c>
      <c r="F58">
        <v>81</v>
      </c>
      <c r="G58">
        <v>70</v>
      </c>
      <c r="H58">
        <v>66</v>
      </c>
      <c r="I58">
        <v>62</v>
      </c>
      <c r="K58">
        <f t="shared" si="4"/>
        <v>81.25</v>
      </c>
      <c r="M58">
        <f t="shared" si="3"/>
        <v>92.75</v>
      </c>
      <c r="N58">
        <f t="shared" si="5"/>
        <v>69.75</v>
      </c>
    </row>
    <row r="59" spans="1:14" x14ac:dyDescent="0.25">
      <c r="A59" t="s">
        <v>175</v>
      </c>
      <c r="B59">
        <v>65</v>
      </c>
      <c r="C59">
        <v>66</v>
      </c>
      <c r="D59">
        <v>61</v>
      </c>
      <c r="E59">
        <v>64</v>
      </c>
      <c r="F59">
        <v>69</v>
      </c>
      <c r="G59">
        <v>68</v>
      </c>
      <c r="H59">
        <v>70</v>
      </c>
      <c r="I59">
        <v>71</v>
      </c>
      <c r="K59">
        <f t="shared" si="4"/>
        <v>66.75</v>
      </c>
      <c r="M59">
        <f t="shared" si="3"/>
        <v>64</v>
      </c>
      <c r="N59">
        <f t="shared" si="5"/>
        <v>69.5</v>
      </c>
    </row>
    <row r="60" spans="1:14" x14ac:dyDescent="0.25">
      <c r="A60" t="s">
        <v>187</v>
      </c>
      <c r="B60">
        <v>46</v>
      </c>
      <c r="C60">
        <v>50</v>
      </c>
      <c r="D60">
        <v>55</v>
      </c>
      <c r="E60">
        <v>62</v>
      </c>
      <c r="F60">
        <v>40</v>
      </c>
      <c r="G60">
        <v>43</v>
      </c>
      <c r="H60">
        <v>39</v>
      </c>
      <c r="I60">
        <v>44</v>
      </c>
      <c r="K60">
        <f t="shared" si="4"/>
        <v>47.375</v>
      </c>
      <c r="M60">
        <f t="shared" si="3"/>
        <v>53.25</v>
      </c>
      <c r="N60">
        <f t="shared" si="5"/>
        <v>41.5</v>
      </c>
    </row>
    <row r="61" spans="1:14" x14ac:dyDescent="0.25">
      <c r="A61" t="s">
        <v>186</v>
      </c>
      <c r="B61">
        <v>87</v>
      </c>
      <c r="C61">
        <v>89</v>
      </c>
      <c r="D61">
        <v>92</v>
      </c>
      <c r="E61">
        <v>95</v>
      </c>
      <c r="F61">
        <v>89</v>
      </c>
      <c r="G61" s="7"/>
      <c r="H61">
        <v>97</v>
      </c>
      <c r="I61">
        <v>97</v>
      </c>
      <c r="K61">
        <f t="shared" si="4"/>
        <v>92.285714285714292</v>
      </c>
      <c r="M61">
        <f t="shared" si="3"/>
        <v>90.75</v>
      </c>
      <c r="N61">
        <f t="shared" si="5"/>
        <v>94.333333333333329</v>
      </c>
    </row>
    <row r="63" spans="1:14" x14ac:dyDescent="0.25">
      <c r="J63" s="25"/>
      <c r="K63" s="37"/>
      <c r="L63" s="37"/>
      <c r="M63" s="37"/>
      <c r="N63" s="37"/>
    </row>
    <row r="65" spans="10:14" x14ac:dyDescent="0.25">
      <c r="J65" s="25"/>
      <c r="K65" s="12"/>
      <c r="L65" s="12"/>
      <c r="M65" s="12"/>
      <c r="N65" s="12"/>
    </row>
    <row r="66" spans="10:14" x14ac:dyDescent="0.25">
      <c r="J66" s="25"/>
      <c r="K66" s="12"/>
      <c r="L66" s="12"/>
      <c r="M66" s="12"/>
      <c r="N66" s="12"/>
    </row>
    <row r="67" spans="10:14" x14ac:dyDescent="0.25">
      <c r="K67" s="12"/>
      <c r="L67" s="12"/>
      <c r="M67" s="12"/>
      <c r="N67" s="12"/>
    </row>
    <row r="68" spans="10:14" x14ac:dyDescent="0.25">
      <c r="J68" s="25"/>
      <c r="K68" s="12"/>
      <c r="L68" s="12"/>
      <c r="M68" s="12"/>
      <c r="N68" s="12"/>
    </row>
    <row r="69" spans="10:14" x14ac:dyDescent="0.25">
      <c r="J69" s="25"/>
      <c r="K69" s="12"/>
      <c r="L69" s="12"/>
      <c r="M69" s="12"/>
      <c r="N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M69"/>
  <sheetViews>
    <sheetView zoomScale="55" zoomScaleNormal="55" workbookViewId="0">
      <selection activeCell="V47" sqref="V47"/>
    </sheetView>
  </sheetViews>
  <sheetFormatPr defaultRowHeight="15" x14ac:dyDescent="0.25"/>
  <cols>
    <col min="9" max="9" width="9.140625" style="13"/>
    <col min="18" max="18" width="9.140625" style="14"/>
    <col min="26" max="26" width="9.140625" style="14"/>
  </cols>
  <sheetData>
    <row r="1" spans="1:33" s="25" customFormat="1" x14ac:dyDescent="0.25">
      <c r="A1" s="25" t="s">
        <v>0</v>
      </c>
      <c r="B1" s="25" t="s">
        <v>205</v>
      </c>
      <c r="C1" s="25" t="s">
        <v>206</v>
      </c>
      <c r="D1" s="25" t="s">
        <v>207</v>
      </c>
      <c r="E1" s="25" t="s">
        <v>208</v>
      </c>
      <c r="F1" s="25" t="s">
        <v>209</v>
      </c>
      <c r="G1" s="25" t="s">
        <v>210</v>
      </c>
      <c r="H1" s="25" t="s">
        <v>211</v>
      </c>
      <c r="I1" s="30" t="s">
        <v>212</v>
      </c>
      <c r="J1" s="25" t="s">
        <v>213</v>
      </c>
      <c r="K1" s="25" t="s">
        <v>214</v>
      </c>
      <c r="L1" s="25" t="s">
        <v>215</v>
      </c>
      <c r="M1" s="25" t="s">
        <v>216</v>
      </c>
      <c r="N1" s="25" t="s">
        <v>217</v>
      </c>
      <c r="O1" s="25" t="s">
        <v>218</v>
      </c>
      <c r="P1" s="25" t="s">
        <v>219</v>
      </c>
      <c r="Q1" s="25" t="s">
        <v>220</v>
      </c>
      <c r="R1" s="31" t="s">
        <v>221</v>
      </c>
      <c r="S1" s="25" t="s">
        <v>222</v>
      </c>
      <c r="T1" s="25" t="s">
        <v>223</v>
      </c>
      <c r="U1" s="25" t="s">
        <v>224</v>
      </c>
      <c r="V1" s="25" t="s">
        <v>225</v>
      </c>
      <c r="W1" s="25" t="s">
        <v>226</v>
      </c>
      <c r="X1" s="25" t="s">
        <v>227</v>
      </c>
      <c r="Y1" s="25" t="s">
        <v>228</v>
      </c>
      <c r="Z1" s="31" t="s">
        <v>229</v>
      </c>
      <c r="AA1" s="25" t="s">
        <v>230</v>
      </c>
      <c r="AB1" s="25" t="s">
        <v>231</v>
      </c>
      <c r="AC1" s="25" t="s">
        <v>232</v>
      </c>
      <c r="AD1" s="25" t="s">
        <v>233</v>
      </c>
      <c r="AE1" s="25" t="s">
        <v>234</v>
      </c>
      <c r="AF1" s="25" t="s">
        <v>235</v>
      </c>
      <c r="AG1" s="25" t="s">
        <v>236</v>
      </c>
    </row>
    <row r="2" spans="1:33" x14ac:dyDescent="0.25">
      <c r="A2" t="s">
        <v>3</v>
      </c>
      <c r="B2">
        <v>57</v>
      </c>
      <c r="C2">
        <v>32</v>
      </c>
      <c r="D2">
        <v>34</v>
      </c>
      <c r="E2">
        <v>37</v>
      </c>
      <c r="F2">
        <v>26</v>
      </c>
      <c r="G2">
        <v>30</v>
      </c>
      <c r="H2">
        <v>28</v>
      </c>
      <c r="I2" s="13">
        <v>30</v>
      </c>
      <c r="J2" s="7"/>
      <c r="K2" s="7"/>
      <c r="L2" s="7"/>
      <c r="M2" s="7"/>
      <c r="N2" s="7"/>
      <c r="O2" s="7"/>
      <c r="P2" s="7"/>
      <c r="Q2" s="7"/>
      <c r="R2" s="14">
        <v>42</v>
      </c>
      <c r="S2">
        <v>38</v>
      </c>
      <c r="T2">
        <v>56</v>
      </c>
      <c r="U2">
        <v>68</v>
      </c>
      <c r="V2">
        <v>41</v>
      </c>
      <c r="W2">
        <v>61</v>
      </c>
      <c r="X2">
        <v>26</v>
      </c>
      <c r="Y2">
        <v>34</v>
      </c>
      <c r="Z2" s="14">
        <v>60</v>
      </c>
      <c r="AA2">
        <v>57</v>
      </c>
      <c r="AB2">
        <v>62</v>
      </c>
      <c r="AC2">
        <v>53</v>
      </c>
      <c r="AD2">
        <v>55</v>
      </c>
      <c r="AE2">
        <v>38</v>
      </c>
      <c r="AF2">
        <v>55</v>
      </c>
      <c r="AG2">
        <v>51</v>
      </c>
    </row>
    <row r="3" spans="1:33" x14ac:dyDescent="0.25">
      <c r="A3" t="s">
        <v>13</v>
      </c>
      <c r="B3">
        <v>12</v>
      </c>
      <c r="C3">
        <v>26</v>
      </c>
      <c r="D3">
        <v>32</v>
      </c>
      <c r="E3">
        <v>53</v>
      </c>
      <c r="F3">
        <v>50</v>
      </c>
      <c r="G3">
        <v>55</v>
      </c>
      <c r="H3">
        <v>48</v>
      </c>
      <c r="I3" s="13">
        <v>44</v>
      </c>
      <c r="J3" s="7"/>
      <c r="K3" s="7"/>
      <c r="L3" s="7"/>
      <c r="M3" s="7"/>
      <c r="N3" s="7"/>
      <c r="O3" s="7"/>
      <c r="P3" s="7"/>
      <c r="Q3" s="7"/>
      <c r="R3" s="14">
        <v>44</v>
      </c>
      <c r="S3">
        <v>53</v>
      </c>
      <c r="T3">
        <v>32</v>
      </c>
      <c r="U3">
        <v>57</v>
      </c>
      <c r="V3">
        <v>46</v>
      </c>
      <c r="W3">
        <v>36</v>
      </c>
      <c r="X3">
        <v>59</v>
      </c>
      <c r="Y3">
        <v>63</v>
      </c>
      <c r="Z3" s="14">
        <v>22</v>
      </c>
      <c r="AA3">
        <v>51</v>
      </c>
      <c r="AB3">
        <v>48</v>
      </c>
      <c r="AC3">
        <v>52</v>
      </c>
      <c r="AD3">
        <v>61</v>
      </c>
      <c r="AE3">
        <v>53</v>
      </c>
      <c r="AF3">
        <v>60</v>
      </c>
      <c r="AG3">
        <v>67</v>
      </c>
    </row>
    <row r="4" spans="1:33" x14ac:dyDescent="0.25">
      <c r="A4" t="s">
        <v>68</v>
      </c>
      <c r="B4">
        <v>67</v>
      </c>
      <c r="C4">
        <v>28</v>
      </c>
      <c r="D4">
        <v>74</v>
      </c>
      <c r="E4">
        <v>34</v>
      </c>
      <c r="F4">
        <v>57</v>
      </c>
      <c r="G4">
        <v>70</v>
      </c>
      <c r="H4">
        <v>73</v>
      </c>
      <c r="I4" s="13">
        <v>71</v>
      </c>
      <c r="J4" s="7"/>
      <c r="K4" s="7"/>
      <c r="L4" s="7"/>
      <c r="M4" s="7"/>
      <c r="N4" s="7"/>
      <c r="O4" s="7"/>
      <c r="P4" s="7"/>
      <c r="Q4" s="7"/>
      <c r="R4" s="14">
        <v>71</v>
      </c>
      <c r="S4">
        <v>65</v>
      </c>
      <c r="T4">
        <v>33</v>
      </c>
      <c r="U4">
        <v>57</v>
      </c>
      <c r="V4">
        <v>64</v>
      </c>
      <c r="W4">
        <v>80</v>
      </c>
      <c r="X4">
        <v>80</v>
      </c>
      <c r="Y4">
        <v>70</v>
      </c>
      <c r="Z4" s="14">
        <v>35</v>
      </c>
      <c r="AA4">
        <v>33</v>
      </c>
      <c r="AB4">
        <v>60</v>
      </c>
      <c r="AC4">
        <v>60</v>
      </c>
      <c r="AD4">
        <v>70</v>
      </c>
      <c r="AE4">
        <v>58</v>
      </c>
      <c r="AF4">
        <v>44</v>
      </c>
      <c r="AG4">
        <v>73</v>
      </c>
    </row>
    <row r="5" spans="1:33" x14ac:dyDescent="0.25">
      <c r="A5" t="s">
        <v>69</v>
      </c>
      <c r="B5">
        <v>66</v>
      </c>
      <c r="C5">
        <v>67</v>
      </c>
      <c r="D5">
        <v>69</v>
      </c>
      <c r="E5">
        <v>80</v>
      </c>
      <c r="F5">
        <v>50</v>
      </c>
      <c r="G5">
        <v>62</v>
      </c>
      <c r="H5">
        <v>65</v>
      </c>
      <c r="I5" s="13">
        <v>60</v>
      </c>
      <c r="J5">
        <v>10</v>
      </c>
      <c r="K5">
        <v>21</v>
      </c>
      <c r="L5">
        <v>14</v>
      </c>
      <c r="M5">
        <v>21</v>
      </c>
      <c r="N5">
        <v>7</v>
      </c>
      <c r="O5">
        <v>8</v>
      </c>
      <c r="P5">
        <v>5</v>
      </c>
      <c r="Q5">
        <v>2</v>
      </c>
      <c r="R5" s="14">
        <v>63</v>
      </c>
      <c r="S5">
        <v>91</v>
      </c>
      <c r="T5">
        <v>67</v>
      </c>
      <c r="U5">
        <v>64</v>
      </c>
      <c r="V5">
        <v>63</v>
      </c>
      <c r="W5">
        <v>64</v>
      </c>
      <c r="X5">
        <v>61</v>
      </c>
      <c r="Y5">
        <v>59</v>
      </c>
      <c r="Z5" s="14">
        <v>90</v>
      </c>
      <c r="AA5">
        <v>60</v>
      </c>
      <c r="AB5">
        <v>70</v>
      </c>
      <c r="AC5">
        <v>80</v>
      </c>
      <c r="AD5">
        <v>80</v>
      </c>
      <c r="AE5">
        <v>82</v>
      </c>
      <c r="AF5">
        <v>87</v>
      </c>
      <c r="AG5">
        <v>70</v>
      </c>
    </row>
    <row r="6" spans="1:33" x14ac:dyDescent="0.25">
      <c r="A6" t="s">
        <v>70</v>
      </c>
      <c r="B6">
        <v>65</v>
      </c>
      <c r="C6">
        <v>55</v>
      </c>
      <c r="D6">
        <v>24</v>
      </c>
      <c r="E6">
        <v>14</v>
      </c>
      <c r="F6">
        <v>77</v>
      </c>
      <c r="G6">
        <v>88</v>
      </c>
      <c r="H6">
        <v>71</v>
      </c>
      <c r="I6" s="13">
        <v>54</v>
      </c>
      <c r="J6">
        <v>4</v>
      </c>
      <c r="K6">
        <v>1</v>
      </c>
      <c r="L6">
        <v>3</v>
      </c>
      <c r="M6">
        <v>4</v>
      </c>
      <c r="N6">
        <v>7</v>
      </c>
      <c r="O6">
        <v>10</v>
      </c>
      <c r="P6">
        <v>3</v>
      </c>
      <c r="Q6">
        <v>3</v>
      </c>
      <c r="R6" s="14">
        <v>79</v>
      </c>
      <c r="S6">
        <v>63</v>
      </c>
      <c r="T6">
        <v>80</v>
      </c>
      <c r="U6">
        <v>85</v>
      </c>
      <c r="V6">
        <v>77</v>
      </c>
      <c r="W6">
        <v>93</v>
      </c>
      <c r="X6">
        <v>86</v>
      </c>
      <c r="Y6">
        <v>92</v>
      </c>
      <c r="Z6" s="14">
        <v>90</v>
      </c>
      <c r="AA6">
        <v>69</v>
      </c>
      <c r="AB6">
        <v>66</v>
      </c>
      <c r="AC6">
        <v>93</v>
      </c>
      <c r="AD6">
        <v>70</v>
      </c>
      <c r="AE6">
        <v>91</v>
      </c>
      <c r="AF6">
        <v>35</v>
      </c>
      <c r="AG6">
        <v>96</v>
      </c>
    </row>
    <row r="7" spans="1:33" x14ac:dyDescent="0.25">
      <c r="A7" t="s">
        <v>74</v>
      </c>
      <c r="B7">
        <v>12</v>
      </c>
      <c r="C7">
        <v>62</v>
      </c>
      <c r="D7">
        <v>64</v>
      </c>
      <c r="E7">
        <v>62</v>
      </c>
      <c r="F7">
        <v>67</v>
      </c>
      <c r="G7">
        <v>57</v>
      </c>
      <c r="H7">
        <v>61</v>
      </c>
      <c r="I7" s="13">
        <v>75</v>
      </c>
      <c r="J7">
        <v>3</v>
      </c>
      <c r="K7">
        <v>18</v>
      </c>
      <c r="L7">
        <v>7</v>
      </c>
      <c r="M7">
        <v>18</v>
      </c>
      <c r="N7">
        <v>21</v>
      </c>
      <c r="O7">
        <v>33</v>
      </c>
      <c r="P7">
        <v>35</v>
      </c>
      <c r="Q7">
        <v>37</v>
      </c>
      <c r="R7" s="14">
        <v>68</v>
      </c>
      <c r="S7">
        <v>97</v>
      </c>
      <c r="T7">
        <v>96</v>
      </c>
      <c r="U7">
        <v>70</v>
      </c>
      <c r="V7">
        <v>59</v>
      </c>
      <c r="W7">
        <v>75</v>
      </c>
      <c r="X7">
        <v>71</v>
      </c>
      <c r="Y7">
        <v>76</v>
      </c>
      <c r="Z7" s="14">
        <v>76</v>
      </c>
      <c r="AA7">
        <v>63</v>
      </c>
      <c r="AB7">
        <v>74</v>
      </c>
      <c r="AC7">
        <v>73</v>
      </c>
      <c r="AD7">
        <v>68</v>
      </c>
      <c r="AE7">
        <v>75</v>
      </c>
      <c r="AF7">
        <v>78</v>
      </c>
      <c r="AG7">
        <v>61</v>
      </c>
    </row>
    <row r="8" spans="1:33" x14ac:dyDescent="0.25">
      <c r="A8" t="s">
        <v>79</v>
      </c>
      <c r="B8">
        <v>65</v>
      </c>
      <c r="C8">
        <v>55</v>
      </c>
      <c r="D8">
        <v>68</v>
      </c>
      <c r="E8">
        <v>62</v>
      </c>
      <c r="F8">
        <v>91</v>
      </c>
      <c r="G8">
        <v>85</v>
      </c>
      <c r="H8">
        <v>98</v>
      </c>
      <c r="I8" s="13">
        <v>82</v>
      </c>
      <c r="J8">
        <v>21</v>
      </c>
      <c r="K8">
        <v>23</v>
      </c>
      <c r="L8">
        <v>35</v>
      </c>
      <c r="M8">
        <v>27</v>
      </c>
      <c r="N8">
        <v>22</v>
      </c>
      <c r="O8">
        <v>37</v>
      </c>
      <c r="P8">
        <v>28</v>
      </c>
      <c r="Q8">
        <v>19</v>
      </c>
      <c r="R8" s="14">
        <v>74</v>
      </c>
      <c r="S8">
        <v>77</v>
      </c>
      <c r="T8">
        <v>91</v>
      </c>
      <c r="U8">
        <v>93</v>
      </c>
      <c r="V8">
        <v>72</v>
      </c>
      <c r="W8">
        <v>82</v>
      </c>
      <c r="X8">
        <v>91</v>
      </c>
      <c r="Y8">
        <v>92</v>
      </c>
      <c r="Z8" s="14">
        <v>76</v>
      </c>
      <c r="AA8">
        <v>84</v>
      </c>
      <c r="AB8">
        <v>96</v>
      </c>
      <c r="AC8">
        <v>60</v>
      </c>
      <c r="AD8">
        <v>78</v>
      </c>
      <c r="AE8">
        <v>96</v>
      </c>
      <c r="AF8">
        <v>99</v>
      </c>
      <c r="AG8">
        <v>70</v>
      </c>
    </row>
    <row r="9" spans="1:33" x14ac:dyDescent="0.25">
      <c r="A9" t="s">
        <v>80</v>
      </c>
      <c r="B9">
        <v>7</v>
      </c>
      <c r="C9">
        <v>1</v>
      </c>
      <c r="D9">
        <v>18</v>
      </c>
      <c r="E9">
        <v>74</v>
      </c>
      <c r="F9">
        <v>25</v>
      </c>
      <c r="G9">
        <v>82</v>
      </c>
      <c r="H9">
        <v>70</v>
      </c>
      <c r="I9" s="13">
        <v>27</v>
      </c>
      <c r="J9">
        <v>2</v>
      </c>
      <c r="K9">
        <v>1</v>
      </c>
      <c r="L9">
        <v>1</v>
      </c>
      <c r="M9">
        <v>27</v>
      </c>
      <c r="N9">
        <v>27</v>
      </c>
      <c r="O9">
        <v>1</v>
      </c>
      <c r="P9">
        <v>1</v>
      </c>
      <c r="Q9">
        <v>36</v>
      </c>
      <c r="R9" s="14">
        <v>75</v>
      </c>
      <c r="S9">
        <v>66</v>
      </c>
      <c r="T9">
        <v>69</v>
      </c>
      <c r="U9" s="7"/>
      <c r="V9">
        <v>1</v>
      </c>
      <c r="W9">
        <v>73</v>
      </c>
      <c r="X9">
        <v>70</v>
      </c>
      <c r="Y9">
        <v>77</v>
      </c>
      <c r="Z9" s="14">
        <v>11</v>
      </c>
      <c r="AA9">
        <v>1</v>
      </c>
      <c r="AB9">
        <v>23</v>
      </c>
      <c r="AC9">
        <v>34</v>
      </c>
      <c r="AD9">
        <v>69</v>
      </c>
      <c r="AE9">
        <v>64</v>
      </c>
      <c r="AF9">
        <v>25</v>
      </c>
      <c r="AG9">
        <v>66</v>
      </c>
    </row>
    <row r="10" spans="1:33" x14ac:dyDescent="0.25">
      <c r="A10" t="s">
        <v>86</v>
      </c>
      <c r="B10">
        <v>34</v>
      </c>
      <c r="C10">
        <v>57</v>
      </c>
      <c r="D10">
        <v>58</v>
      </c>
      <c r="E10">
        <v>67</v>
      </c>
      <c r="F10">
        <v>64</v>
      </c>
      <c r="G10">
        <v>75</v>
      </c>
      <c r="H10">
        <v>66</v>
      </c>
      <c r="I10" s="13">
        <v>77</v>
      </c>
      <c r="J10">
        <v>3</v>
      </c>
      <c r="K10">
        <v>19</v>
      </c>
      <c r="L10">
        <v>16</v>
      </c>
      <c r="M10">
        <v>18</v>
      </c>
      <c r="N10">
        <v>14</v>
      </c>
      <c r="O10">
        <v>15</v>
      </c>
      <c r="P10">
        <v>77</v>
      </c>
      <c r="Q10">
        <v>27</v>
      </c>
      <c r="R10" s="14">
        <v>72</v>
      </c>
      <c r="S10">
        <v>79</v>
      </c>
      <c r="T10">
        <v>64</v>
      </c>
      <c r="U10">
        <v>65</v>
      </c>
      <c r="V10">
        <v>66</v>
      </c>
      <c r="W10">
        <v>74</v>
      </c>
      <c r="X10">
        <v>69</v>
      </c>
      <c r="Y10">
        <v>55</v>
      </c>
      <c r="Z10" s="14">
        <v>74</v>
      </c>
      <c r="AA10">
        <v>77</v>
      </c>
      <c r="AB10">
        <v>90</v>
      </c>
      <c r="AC10">
        <v>69</v>
      </c>
      <c r="AD10">
        <v>68</v>
      </c>
      <c r="AE10">
        <v>71</v>
      </c>
      <c r="AF10">
        <v>84</v>
      </c>
      <c r="AG10">
        <v>90</v>
      </c>
    </row>
    <row r="11" spans="1:33" x14ac:dyDescent="0.25">
      <c r="A11" t="s">
        <v>92</v>
      </c>
      <c r="B11">
        <v>69</v>
      </c>
      <c r="C11">
        <v>31</v>
      </c>
      <c r="D11">
        <v>47</v>
      </c>
      <c r="E11">
        <v>73</v>
      </c>
      <c r="F11">
        <v>46</v>
      </c>
      <c r="G11">
        <v>57</v>
      </c>
      <c r="H11">
        <v>25</v>
      </c>
      <c r="I11" s="13">
        <v>20</v>
      </c>
      <c r="J11">
        <v>20</v>
      </c>
      <c r="K11">
        <v>24</v>
      </c>
      <c r="L11">
        <v>52</v>
      </c>
      <c r="M11">
        <v>29</v>
      </c>
      <c r="N11">
        <v>21</v>
      </c>
      <c r="O11">
        <v>32</v>
      </c>
      <c r="P11">
        <v>14</v>
      </c>
      <c r="Q11">
        <v>44</v>
      </c>
      <c r="R11" s="14">
        <v>25</v>
      </c>
      <c r="S11">
        <v>71</v>
      </c>
      <c r="T11">
        <v>81</v>
      </c>
      <c r="U11">
        <v>49</v>
      </c>
      <c r="V11">
        <v>42</v>
      </c>
      <c r="W11">
        <v>57</v>
      </c>
      <c r="X11">
        <v>48</v>
      </c>
      <c r="Y11">
        <v>36</v>
      </c>
      <c r="Z11" s="14">
        <v>70</v>
      </c>
      <c r="AA11">
        <v>89</v>
      </c>
      <c r="AB11">
        <v>72</v>
      </c>
      <c r="AC11">
        <v>65</v>
      </c>
      <c r="AD11">
        <v>38</v>
      </c>
      <c r="AE11">
        <v>16</v>
      </c>
      <c r="AF11">
        <v>43</v>
      </c>
      <c r="AG11">
        <v>38</v>
      </c>
    </row>
    <row r="12" spans="1:33" x14ac:dyDescent="0.25">
      <c r="A12" t="s">
        <v>93</v>
      </c>
      <c r="B12">
        <v>68</v>
      </c>
      <c r="C12">
        <v>49</v>
      </c>
      <c r="D12">
        <v>66</v>
      </c>
      <c r="E12">
        <v>35</v>
      </c>
      <c r="F12">
        <v>70</v>
      </c>
      <c r="G12">
        <v>76</v>
      </c>
      <c r="H12">
        <v>71</v>
      </c>
      <c r="I12" s="13">
        <v>74</v>
      </c>
      <c r="J12">
        <v>28</v>
      </c>
      <c r="K12">
        <v>14</v>
      </c>
      <c r="L12">
        <v>21</v>
      </c>
      <c r="M12">
        <v>24</v>
      </c>
      <c r="N12">
        <v>9</v>
      </c>
      <c r="O12">
        <v>18</v>
      </c>
      <c r="P12">
        <v>21</v>
      </c>
      <c r="Q12">
        <v>17</v>
      </c>
      <c r="R12" s="14">
        <v>57</v>
      </c>
      <c r="S12">
        <v>67</v>
      </c>
      <c r="T12">
        <v>73</v>
      </c>
      <c r="U12">
        <v>73</v>
      </c>
      <c r="V12">
        <v>59</v>
      </c>
      <c r="W12">
        <v>67</v>
      </c>
      <c r="X12">
        <v>67</v>
      </c>
      <c r="Y12">
        <v>75</v>
      </c>
      <c r="Z12" s="14">
        <v>80</v>
      </c>
      <c r="AA12">
        <v>80</v>
      </c>
      <c r="AB12">
        <v>59</v>
      </c>
      <c r="AC12">
        <v>59</v>
      </c>
      <c r="AD12">
        <v>54</v>
      </c>
      <c r="AE12">
        <v>62</v>
      </c>
      <c r="AF12">
        <v>65</v>
      </c>
      <c r="AG12">
        <v>41</v>
      </c>
    </row>
    <row r="13" spans="1:33" x14ac:dyDescent="0.25">
      <c r="A13" t="s">
        <v>110</v>
      </c>
      <c r="B13">
        <v>17</v>
      </c>
      <c r="C13">
        <v>67</v>
      </c>
      <c r="D13">
        <v>15</v>
      </c>
      <c r="E13">
        <v>72</v>
      </c>
      <c r="F13">
        <v>58</v>
      </c>
      <c r="G13">
        <v>72</v>
      </c>
      <c r="H13">
        <v>60</v>
      </c>
      <c r="I13" s="13">
        <v>69</v>
      </c>
      <c r="J13">
        <v>3</v>
      </c>
      <c r="K13">
        <v>3</v>
      </c>
      <c r="L13">
        <v>4</v>
      </c>
      <c r="M13">
        <v>2</v>
      </c>
      <c r="N13">
        <v>0</v>
      </c>
      <c r="O13">
        <v>4</v>
      </c>
      <c r="P13">
        <v>1</v>
      </c>
      <c r="Q13">
        <v>3</v>
      </c>
      <c r="R13" s="14">
        <v>46</v>
      </c>
      <c r="S13">
        <v>68</v>
      </c>
      <c r="T13">
        <v>84</v>
      </c>
      <c r="U13">
        <v>66</v>
      </c>
      <c r="V13">
        <v>74</v>
      </c>
      <c r="W13">
        <v>72</v>
      </c>
      <c r="X13">
        <v>72</v>
      </c>
      <c r="Y13">
        <v>86</v>
      </c>
      <c r="Z13" s="14">
        <v>86</v>
      </c>
      <c r="AA13">
        <v>88</v>
      </c>
      <c r="AB13">
        <v>74</v>
      </c>
      <c r="AC13">
        <v>82</v>
      </c>
      <c r="AD13">
        <v>84</v>
      </c>
      <c r="AE13">
        <v>81</v>
      </c>
      <c r="AF13">
        <v>58</v>
      </c>
      <c r="AG13">
        <v>77</v>
      </c>
    </row>
    <row r="14" spans="1:33" s="4" customFormat="1" x14ac:dyDescent="0.25">
      <c r="A14" s="4" t="s">
        <v>120</v>
      </c>
      <c r="B14" s="4">
        <v>49</v>
      </c>
      <c r="C14" s="4">
        <v>49</v>
      </c>
      <c r="D14" s="4">
        <v>62</v>
      </c>
      <c r="E14" s="4">
        <v>65</v>
      </c>
      <c r="F14" s="4">
        <v>54</v>
      </c>
      <c r="G14" s="4">
        <v>67</v>
      </c>
      <c r="H14" s="4">
        <v>82</v>
      </c>
      <c r="I14" s="15">
        <v>68</v>
      </c>
      <c r="J14" s="4">
        <v>8</v>
      </c>
      <c r="K14" s="4">
        <v>6</v>
      </c>
      <c r="L14" s="4">
        <v>6</v>
      </c>
      <c r="M14" s="4">
        <v>4</v>
      </c>
      <c r="N14" s="4">
        <v>13</v>
      </c>
      <c r="O14" s="4">
        <v>9</v>
      </c>
      <c r="P14" s="4">
        <v>12</v>
      </c>
      <c r="Q14" s="4">
        <v>12</v>
      </c>
      <c r="R14" s="16">
        <v>75</v>
      </c>
      <c r="S14" s="4">
        <v>59</v>
      </c>
      <c r="T14" s="4">
        <v>61</v>
      </c>
      <c r="U14" s="4">
        <v>77</v>
      </c>
      <c r="V14" s="4">
        <v>63</v>
      </c>
      <c r="W14" s="4">
        <v>68</v>
      </c>
      <c r="X14" s="4">
        <v>73</v>
      </c>
      <c r="Y14" s="4">
        <v>48</v>
      </c>
      <c r="Z14" s="16">
        <v>71</v>
      </c>
      <c r="AA14" s="4">
        <v>68</v>
      </c>
      <c r="AB14" s="4">
        <v>74</v>
      </c>
      <c r="AC14" s="4">
        <v>36</v>
      </c>
      <c r="AD14" s="4">
        <v>66</v>
      </c>
      <c r="AE14" s="4">
        <v>84</v>
      </c>
      <c r="AF14" s="4">
        <v>63</v>
      </c>
      <c r="AG14" s="4">
        <v>76</v>
      </c>
    </row>
    <row r="15" spans="1:33" x14ac:dyDescent="0.25">
      <c r="A15" t="s">
        <v>125</v>
      </c>
      <c r="B15">
        <v>11</v>
      </c>
      <c r="C15">
        <v>21</v>
      </c>
      <c r="D15">
        <v>41</v>
      </c>
      <c r="E15">
        <v>21</v>
      </c>
      <c r="F15">
        <v>16</v>
      </c>
      <c r="G15">
        <v>22</v>
      </c>
      <c r="H15">
        <v>17</v>
      </c>
      <c r="I15" s="13">
        <v>46</v>
      </c>
      <c r="J15">
        <v>9</v>
      </c>
      <c r="K15">
        <v>12</v>
      </c>
      <c r="L15">
        <v>34</v>
      </c>
      <c r="M15">
        <v>20</v>
      </c>
      <c r="N15">
        <v>11</v>
      </c>
      <c r="O15">
        <v>10</v>
      </c>
      <c r="P15">
        <v>10</v>
      </c>
      <c r="Q15">
        <v>25</v>
      </c>
      <c r="R15" s="14">
        <v>79</v>
      </c>
      <c r="S15">
        <v>53</v>
      </c>
      <c r="T15">
        <v>76</v>
      </c>
      <c r="U15">
        <v>25</v>
      </c>
      <c r="V15">
        <v>12</v>
      </c>
      <c r="W15">
        <v>29</v>
      </c>
      <c r="X15">
        <v>64</v>
      </c>
      <c r="Y15">
        <v>79</v>
      </c>
      <c r="Z15" s="14">
        <v>83</v>
      </c>
      <c r="AA15">
        <v>71</v>
      </c>
      <c r="AB15">
        <v>85</v>
      </c>
      <c r="AC15">
        <v>83</v>
      </c>
      <c r="AD15">
        <v>42</v>
      </c>
      <c r="AE15">
        <v>48</v>
      </c>
      <c r="AF15">
        <v>60</v>
      </c>
      <c r="AG15">
        <v>76</v>
      </c>
    </row>
    <row r="16" spans="1:33" x14ac:dyDescent="0.25">
      <c r="A16" t="s">
        <v>130</v>
      </c>
      <c r="B16">
        <v>34</v>
      </c>
      <c r="C16">
        <v>26</v>
      </c>
      <c r="D16">
        <v>58</v>
      </c>
      <c r="E16">
        <v>45</v>
      </c>
      <c r="F16">
        <v>32</v>
      </c>
      <c r="G16">
        <v>59</v>
      </c>
      <c r="H16">
        <v>40</v>
      </c>
      <c r="I16" s="13">
        <v>47</v>
      </c>
      <c r="J16">
        <v>2</v>
      </c>
      <c r="K16">
        <v>2</v>
      </c>
      <c r="L16">
        <v>57</v>
      </c>
      <c r="M16">
        <v>15</v>
      </c>
      <c r="N16">
        <v>25</v>
      </c>
      <c r="O16">
        <v>85</v>
      </c>
      <c r="P16">
        <v>8</v>
      </c>
      <c r="Q16">
        <v>8</v>
      </c>
      <c r="R16" s="14">
        <v>46</v>
      </c>
      <c r="S16">
        <v>44</v>
      </c>
      <c r="T16">
        <v>47</v>
      </c>
      <c r="U16">
        <v>60</v>
      </c>
      <c r="V16">
        <v>72</v>
      </c>
      <c r="W16">
        <v>61</v>
      </c>
      <c r="X16">
        <v>43</v>
      </c>
      <c r="Y16">
        <v>60</v>
      </c>
      <c r="Z16" s="14">
        <v>73</v>
      </c>
      <c r="AA16">
        <v>71</v>
      </c>
      <c r="AB16">
        <v>35</v>
      </c>
      <c r="AC16">
        <v>42</v>
      </c>
      <c r="AD16">
        <v>69</v>
      </c>
      <c r="AE16">
        <v>74</v>
      </c>
      <c r="AF16">
        <v>45</v>
      </c>
      <c r="AG16">
        <v>56</v>
      </c>
    </row>
    <row r="17" spans="1:33" x14ac:dyDescent="0.25">
      <c r="A17" t="s">
        <v>145</v>
      </c>
      <c r="B17">
        <v>20</v>
      </c>
      <c r="C17">
        <v>29</v>
      </c>
      <c r="D17" s="7"/>
      <c r="E17">
        <v>52</v>
      </c>
      <c r="F17">
        <v>63</v>
      </c>
      <c r="G17">
        <v>67</v>
      </c>
      <c r="H17">
        <v>73</v>
      </c>
      <c r="I17" s="13">
        <v>54</v>
      </c>
      <c r="J17">
        <v>2</v>
      </c>
      <c r="K17">
        <v>9</v>
      </c>
      <c r="L17" s="7"/>
      <c r="M17">
        <v>17</v>
      </c>
      <c r="N17">
        <v>55</v>
      </c>
      <c r="O17">
        <v>30</v>
      </c>
      <c r="P17">
        <v>42</v>
      </c>
      <c r="Q17" s="7"/>
      <c r="R17" s="14">
        <v>69</v>
      </c>
      <c r="S17">
        <v>75</v>
      </c>
      <c r="T17">
        <v>61</v>
      </c>
      <c r="U17">
        <v>70</v>
      </c>
      <c r="V17">
        <v>72</v>
      </c>
      <c r="W17">
        <v>66</v>
      </c>
      <c r="X17">
        <v>40</v>
      </c>
      <c r="Y17" s="7"/>
      <c r="Z17" s="14">
        <v>59</v>
      </c>
      <c r="AA17">
        <v>74</v>
      </c>
      <c r="AB17">
        <v>67</v>
      </c>
      <c r="AC17">
        <v>61</v>
      </c>
      <c r="AD17">
        <v>68</v>
      </c>
      <c r="AE17">
        <v>77</v>
      </c>
      <c r="AF17">
        <v>76</v>
      </c>
      <c r="AG17" s="7"/>
    </row>
    <row r="18" spans="1:33" x14ac:dyDescent="0.25">
      <c r="A18" t="s">
        <v>144</v>
      </c>
      <c r="B18">
        <v>71</v>
      </c>
      <c r="C18">
        <v>86</v>
      </c>
      <c r="D18">
        <v>71</v>
      </c>
      <c r="E18">
        <v>70</v>
      </c>
      <c r="F18">
        <v>57</v>
      </c>
      <c r="G18">
        <v>63</v>
      </c>
      <c r="H18">
        <v>73</v>
      </c>
      <c r="I18" s="13">
        <v>57</v>
      </c>
      <c r="J18">
        <v>60</v>
      </c>
      <c r="K18">
        <v>29</v>
      </c>
      <c r="L18">
        <v>37</v>
      </c>
      <c r="M18">
        <v>22</v>
      </c>
      <c r="N18">
        <v>61</v>
      </c>
      <c r="O18">
        <v>34</v>
      </c>
      <c r="P18">
        <v>42</v>
      </c>
      <c r="Q18">
        <v>58</v>
      </c>
      <c r="R18" s="14">
        <v>69</v>
      </c>
      <c r="S18">
        <v>66</v>
      </c>
      <c r="T18">
        <v>70</v>
      </c>
      <c r="U18">
        <v>85</v>
      </c>
      <c r="V18">
        <v>60</v>
      </c>
      <c r="W18">
        <v>61</v>
      </c>
      <c r="X18">
        <v>65</v>
      </c>
      <c r="Y18">
        <v>60</v>
      </c>
      <c r="Z18" s="14">
        <v>56</v>
      </c>
      <c r="AA18">
        <v>76</v>
      </c>
      <c r="AB18">
        <v>79</v>
      </c>
      <c r="AC18">
        <v>62</v>
      </c>
      <c r="AD18">
        <v>86</v>
      </c>
      <c r="AE18">
        <v>76</v>
      </c>
      <c r="AF18">
        <v>72</v>
      </c>
      <c r="AG18">
        <v>83</v>
      </c>
    </row>
    <row r="19" spans="1:33" x14ac:dyDescent="0.25">
      <c r="A19" t="s">
        <v>132</v>
      </c>
      <c r="B19">
        <v>78</v>
      </c>
      <c r="C19">
        <v>74</v>
      </c>
      <c r="D19">
        <v>66</v>
      </c>
      <c r="E19">
        <v>78</v>
      </c>
      <c r="F19">
        <v>82</v>
      </c>
      <c r="G19">
        <v>75</v>
      </c>
      <c r="H19">
        <v>61</v>
      </c>
      <c r="I19" s="13">
        <v>70</v>
      </c>
      <c r="J19">
        <v>47</v>
      </c>
      <c r="K19">
        <v>34</v>
      </c>
      <c r="L19">
        <v>33</v>
      </c>
      <c r="M19">
        <v>21</v>
      </c>
      <c r="N19">
        <v>39</v>
      </c>
      <c r="O19">
        <v>26</v>
      </c>
      <c r="P19">
        <v>42</v>
      </c>
      <c r="Q19">
        <v>29</v>
      </c>
      <c r="R19" s="14">
        <v>59</v>
      </c>
      <c r="S19">
        <v>67</v>
      </c>
      <c r="T19">
        <v>32</v>
      </c>
      <c r="U19">
        <v>81</v>
      </c>
      <c r="V19">
        <v>61</v>
      </c>
      <c r="W19">
        <v>43</v>
      </c>
      <c r="X19">
        <v>61</v>
      </c>
      <c r="Y19">
        <v>69</v>
      </c>
      <c r="Z19" s="14">
        <v>64</v>
      </c>
      <c r="AA19">
        <v>43</v>
      </c>
      <c r="AB19">
        <v>28</v>
      </c>
      <c r="AC19">
        <v>69</v>
      </c>
      <c r="AD19">
        <v>81</v>
      </c>
      <c r="AE19">
        <v>72</v>
      </c>
      <c r="AF19">
        <v>63</v>
      </c>
      <c r="AG19">
        <v>78</v>
      </c>
    </row>
    <row r="20" spans="1:33" x14ac:dyDescent="0.25">
      <c r="A20" t="s">
        <v>146</v>
      </c>
      <c r="B20">
        <v>3</v>
      </c>
      <c r="C20">
        <v>33</v>
      </c>
      <c r="D20">
        <v>39</v>
      </c>
      <c r="E20">
        <v>3</v>
      </c>
      <c r="F20" s="17">
        <v>3</v>
      </c>
      <c r="G20">
        <v>23</v>
      </c>
      <c r="H20">
        <v>26</v>
      </c>
      <c r="I20" s="13">
        <v>40</v>
      </c>
      <c r="J20">
        <v>0</v>
      </c>
      <c r="K20">
        <v>4</v>
      </c>
      <c r="L20">
        <v>5</v>
      </c>
      <c r="M20">
        <v>1</v>
      </c>
      <c r="N20">
        <v>0</v>
      </c>
      <c r="O20">
        <v>3</v>
      </c>
      <c r="P20">
        <v>2</v>
      </c>
      <c r="Q20">
        <v>4</v>
      </c>
      <c r="R20" s="14">
        <v>50</v>
      </c>
      <c r="S20">
        <v>57</v>
      </c>
      <c r="T20">
        <v>67</v>
      </c>
      <c r="U20">
        <v>58</v>
      </c>
      <c r="V20">
        <v>53</v>
      </c>
      <c r="W20">
        <v>47</v>
      </c>
      <c r="X20" s="7"/>
      <c r="Y20">
        <v>62</v>
      </c>
      <c r="Z20" s="14">
        <v>65</v>
      </c>
      <c r="AA20">
        <v>65</v>
      </c>
      <c r="AB20" s="5"/>
      <c r="AC20">
        <v>55</v>
      </c>
      <c r="AD20">
        <v>55</v>
      </c>
      <c r="AE20">
        <v>63</v>
      </c>
      <c r="AF20" s="7"/>
      <c r="AG20">
        <v>61</v>
      </c>
    </row>
    <row r="21" spans="1:33" x14ac:dyDescent="0.25">
      <c r="A21" t="s">
        <v>147</v>
      </c>
      <c r="B21">
        <v>32</v>
      </c>
      <c r="C21">
        <v>32</v>
      </c>
      <c r="D21">
        <v>30</v>
      </c>
      <c r="E21">
        <v>47</v>
      </c>
      <c r="F21">
        <v>54</v>
      </c>
      <c r="G21">
        <v>50</v>
      </c>
      <c r="H21">
        <v>35</v>
      </c>
      <c r="I21" s="13">
        <v>35</v>
      </c>
      <c r="J21">
        <v>4</v>
      </c>
      <c r="K21">
        <v>3</v>
      </c>
      <c r="L21" s="5"/>
      <c r="M21">
        <v>2</v>
      </c>
      <c r="N21">
        <v>34</v>
      </c>
      <c r="O21">
        <v>5</v>
      </c>
      <c r="P21">
        <v>7</v>
      </c>
      <c r="Q21">
        <v>5</v>
      </c>
      <c r="R21" s="14">
        <v>27</v>
      </c>
      <c r="S21">
        <v>52</v>
      </c>
      <c r="T21" s="5"/>
      <c r="U21">
        <v>3</v>
      </c>
      <c r="V21">
        <v>72</v>
      </c>
      <c r="W21">
        <v>77</v>
      </c>
      <c r="X21">
        <v>71</v>
      </c>
      <c r="Y21">
        <v>41</v>
      </c>
      <c r="Z21" s="14">
        <v>60</v>
      </c>
      <c r="AA21">
        <v>75</v>
      </c>
      <c r="AB21">
        <v>87</v>
      </c>
      <c r="AC21">
        <v>70</v>
      </c>
      <c r="AD21">
        <v>32</v>
      </c>
      <c r="AE21">
        <v>51</v>
      </c>
      <c r="AF21" s="7"/>
      <c r="AG21">
        <v>57</v>
      </c>
    </row>
    <row r="22" spans="1:33" x14ac:dyDescent="0.25">
      <c r="A22" t="s">
        <v>155</v>
      </c>
      <c r="B22">
        <v>0</v>
      </c>
      <c r="C22">
        <v>71</v>
      </c>
      <c r="D22">
        <v>59</v>
      </c>
      <c r="E22">
        <v>49</v>
      </c>
      <c r="F22">
        <v>36</v>
      </c>
      <c r="G22">
        <v>6</v>
      </c>
      <c r="H22">
        <v>15</v>
      </c>
      <c r="I22" s="13">
        <v>47</v>
      </c>
      <c r="J22">
        <v>14</v>
      </c>
      <c r="K22">
        <v>47</v>
      </c>
      <c r="L22">
        <v>9</v>
      </c>
      <c r="M22">
        <v>1</v>
      </c>
      <c r="N22">
        <v>3</v>
      </c>
      <c r="O22">
        <v>41</v>
      </c>
      <c r="P22">
        <v>1</v>
      </c>
      <c r="Q22">
        <v>3</v>
      </c>
      <c r="R22" s="14">
        <v>36</v>
      </c>
      <c r="S22">
        <v>87</v>
      </c>
      <c r="T22">
        <v>13</v>
      </c>
      <c r="U22">
        <v>46</v>
      </c>
      <c r="V22">
        <v>22</v>
      </c>
      <c r="W22">
        <v>42</v>
      </c>
      <c r="X22">
        <v>68</v>
      </c>
      <c r="Y22">
        <v>1</v>
      </c>
      <c r="Z22" s="14">
        <v>3</v>
      </c>
      <c r="AA22">
        <v>0</v>
      </c>
      <c r="AB22">
        <v>2</v>
      </c>
      <c r="AC22">
        <v>76</v>
      </c>
      <c r="AD22">
        <v>72</v>
      </c>
      <c r="AE22">
        <v>4</v>
      </c>
      <c r="AF22">
        <v>1</v>
      </c>
      <c r="AG22">
        <v>84</v>
      </c>
    </row>
    <row r="23" spans="1:33" x14ac:dyDescent="0.25">
      <c r="A23" t="s">
        <v>158</v>
      </c>
      <c r="B23">
        <v>49</v>
      </c>
      <c r="C23">
        <v>68</v>
      </c>
      <c r="D23">
        <v>71</v>
      </c>
      <c r="E23">
        <v>69</v>
      </c>
      <c r="F23">
        <v>38</v>
      </c>
      <c r="G23">
        <v>50</v>
      </c>
      <c r="H23">
        <v>53</v>
      </c>
      <c r="I23" s="13">
        <v>14</v>
      </c>
      <c r="J23">
        <v>8</v>
      </c>
      <c r="K23">
        <v>42</v>
      </c>
      <c r="L23" s="7"/>
      <c r="M23">
        <v>6</v>
      </c>
      <c r="N23">
        <v>15</v>
      </c>
      <c r="O23">
        <v>4</v>
      </c>
      <c r="P23">
        <v>9</v>
      </c>
      <c r="Q23">
        <v>9</v>
      </c>
      <c r="R23" s="14">
        <v>54</v>
      </c>
      <c r="S23">
        <v>53</v>
      </c>
      <c r="T23">
        <v>51</v>
      </c>
      <c r="U23">
        <v>76</v>
      </c>
      <c r="V23" s="7"/>
      <c r="W23">
        <v>60</v>
      </c>
      <c r="X23">
        <v>49</v>
      </c>
      <c r="Y23">
        <v>67</v>
      </c>
      <c r="Z23" s="18"/>
      <c r="AA23">
        <v>73</v>
      </c>
      <c r="AB23">
        <v>68</v>
      </c>
      <c r="AC23" s="7"/>
      <c r="AD23" s="7"/>
      <c r="AE23" s="7"/>
      <c r="AF23">
        <v>92</v>
      </c>
      <c r="AG23">
        <v>82</v>
      </c>
    </row>
    <row r="24" spans="1:33" x14ac:dyDescent="0.25">
      <c r="A24" t="s">
        <v>162</v>
      </c>
      <c r="B24">
        <v>34</v>
      </c>
      <c r="C24">
        <v>33</v>
      </c>
      <c r="D24">
        <v>29</v>
      </c>
      <c r="E24">
        <v>36</v>
      </c>
      <c r="F24">
        <v>17</v>
      </c>
      <c r="G24">
        <v>15</v>
      </c>
      <c r="H24">
        <v>17</v>
      </c>
      <c r="I24" s="13">
        <v>17</v>
      </c>
      <c r="J24">
        <v>7</v>
      </c>
      <c r="K24">
        <v>14</v>
      </c>
      <c r="L24">
        <v>14</v>
      </c>
      <c r="M24">
        <v>17</v>
      </c>
      <c r="N24">
        <v>8</v>
      </c>
      <c r="O24">
        <v>13</v>
      </c>
      <c r="P24">
        <v>16</v>
      </c>
      <c r="Q24">
        <v>11</v>
      </c>
      <c r="R24" s="14">
        <v>53</v>
      </c>
      <c r="S24">
        <v>25</v>
      </c>
      <c r="T24">
        <v>46</v>
      </c>
      <c r="U24">
        <v>30</v>
      </c>
      <c r="V24">
        <v>13</v>
      </c>
      <c r="W24">
        <v>13</v>
      </c>
      <c r="X24">
        <v>68</v>
      </c>
      <c r="Y24">
        <v>25</v>
      </c>
      <c r="Z24" s="14">
        <v>36</v>
      </c>
      <c r="AA24">
        <v>34</v>
      </c>
      <c r="AB24">
        <v>38</v>
      </c>
      <c r="AC24">
        <v>32</v>
      </c>
      <c r="AD24">
        <v>15</v>
      </c>
      <c r="AE24">
        <v>19</v>
      </c>
      <c r="AF24">
        <v>23</v>
      </c>
      <c r="AG24">
        <v>80</v>
      </c>
    </row>
    <row r="25" spans="1:33" x14ac:dyDescent="0.25">
      <c r="A25" t="s">
        <v>160</v>
      </c>
      <c r="B25">
        <v>6</v>
      </c>
      <c r="C25">
        <v>23</v>
      </c>
      <c r="D25">
        <v>10</v>
      </c>
      <c r="E25">
        <v>7</v>
      </c>
      <c r="F25">
        <v>16</v>
      </c>
      <c r="G25">
        <v>15</v>
      </c>
      <c r="H25">
        <v>9</v>
      </c>
      <c r="I25" s="13">
        <v>10</v>
      </c>
      <c r="J25">
        <v>44</v>
      </c>
      <c r="K25">
        <v>15</v>
      </c>
      <c r="L25">
        <v>19</v>
      </c>
      <c r="M25">
        <v>11</v>
      </c>
      <c r="N25">
        <v>10</v>
      </c>
      <c r="O25">
        <v>9</v>
      </c>
      <c r="P25">
        <v>7</v>
      </c>
      <c r="Q25">
        <v>11</v>
      </c>
      <c r="R25" s="14">
        <v>75</v>
      </c>
      <c r="S25">
        <v>33</v>
      </c>
      <c r="T25">
        <v>9</v>
      </c>
      <c r="U25">
        <v>39</v>
      </c>
      <c r="V25">
        <v>34</v>
      </c>
      <c r="W25">
        <v>19</v>
      </c>
      <c r="X25">
        <v>23</v>
      </c>
      <c r="Y25">
        <v>20</v>
      </c>
      <c r="Z25" s="14">
        <v>27</v>
      </c>
      <c r="AA25">
        <v>11</v>
      </c>
      <c r="AB25">
        <v>17</v>
      </c>
      <c r="AC25">
        <v>19</v>
      </c>
      <c r="AD25">
        <v>49</v>
      </c>
      <c r="AE25">
        <v>16</v>
      </c>
      <c r="AF25">
        <v>21</v>
      </c>
      <c r="AG25">
        <v>38</v>
      </c>
    </row>
    <row r="26" spans="1:33" x14ac:dyDescent="0.25">
      <c r="A26" t="s">
        <v>173</v>
      </c>
      <c r="B26">
        <v>51</v>
      </c>
      <c r="C26">
        <v>33</v>
      </c>
      <c r="D26">
        <v>52</v>
      </c>
      <c r="E26">
        <v>69</v>
      </c>
      <c r="F26">
        <v>50</v>
      </c>
      <c r="G26">
        <v>78</v>
      </c>
      <c r="H26">
        <v>85</v>
      </c>
      <c r="I26" s="13">
        <v>80</v>
      </c>
      <c r="J26">
        <v>29</v>
      </c>
      <c r="K26">
        <v>52</v>
      </c>
      <c r="L26">
        <v>80</v>
      </c>
      <c r="M26">
        <v>33</v>
      </c>
      <c r="N26">
        <v>52</v>
      </c>
      <c r="O26">
        <v>77</v>
      </c>
      <c r="P26">
        <v>62</v>
      </c>
      <c r="Q26">
        <v>32</v>
      </c>
      <c r="R26" s="14">
        <v>78</v>
      </c>
      <c r="S26">
        <v>82</v>
      </c>
      <c r="T26">
        <v>66</v>
      </c>
      <c r="U26">
        <v>82</v>
      </c>
      <c r="V26">
        <v>79</v>
      </c>
      <c r="W26">
        <v>72</v>
      </c>
      <c r="X26">
        <v>60</v>
      </c>
      <c r="Y26">
        <v>61</v>
      </c>
      <c r="Z26" s="14">
        <v>49</v>
      </c>
      <c r="AA26">
        <v>74</v>
      </c>
      <c r="AB26">
        <v>70</v>
      </c>
      <c r="AC26">
        <v>71</v>
      </c>
      <c r="AD26">
        <v>74</v>
      </c>
      <c r="AE26">
        <v>70</v>
      </c>
      <c r="AF26">
        <v>76</v>
      </c>
      <c r="AG26">
        <v>76</v>
      </c>
    </row>
    <row r="27" spans="1:33" x14ac:dyDescent="0.25">
      <c r="A27" t="s">
        <v>174</v>
      </c>
      <c r="B27">
        <v>60</v>
      </c>
      <c r="C27">
        <v>78</v>
      </c>
      <c r="D27">
        <v>58</v>
      </c>
      <c r="E27">
        <v>64</v>
      </c>
      <c r="F27">
        <v>57</v>
      </c>
      <c r="G27">
        <v>54</v>
      </c>
      <c r="H27">
        <v>67</v>
      </c>
      <c r="I27" s="13">
        <v>70</v>
      </c>
      <c r="J27">
        <v>14</v>
      </c>
      <c r="K27">
        <v>21</v>
      </c>
      <c r="L27">
        <v>18</v>
      </c>
      <c r="M27">
        <v>32</v>
      </c>
      <c r="N27">
        <v>16</v>
      </c>
      <c r="O27">
        <v>30</v>
      </c>
      <c r="P27">
        <v>18</v>
      </c>
      <c r="Q27">
        <v>21</v>
      </c>
      <c r="R27" s="14">
        <v>47</v>
      </c>
      <c r="S27">
        <v>73</v>
      </c>
      <c r="T27">
        <v>73</v>
      </c>
      <c r="U27">
        <v>70</v>
      </c>
      <c r="V27">
        <v>79</v>
      </c>
      <c r="W27">
        <v>75</v>
      </c>
      <c r="X27">
        <v>64</v>
      </c>
      <c r="Y27">
        <v>65</v>
      </c>
      <c r="Z27" s="14">
        <v>66</v>
      </c>
      <c r="AA27">
        <v>67</v>
      </c>
      <c r="AB27">
        <v>67</v>
      </c>
      <c r="AC27">
        <v>55</v>
      </c>
      <c r="AD27">
        <v>62</v>
      </c>
      <c r="AE27">
        <v>74</v>
      </c>
      <c r="AF27">
        <v>82</v>
      </c>
      <c r="AG27">
        <v>69</v>
      </c>
    </row>
    <row r="28" spans="1:33" x14ac:dyDescent="0.25">
      <c r="A28" t="s">
        <v>175</v>
      </c>
      <c r="B28">
        <v>64</v>
      </c>
      <c r="C28">
        <v>63</v>
      </c>
      <c r="D28">
        <v>73</v>
      </c>
      <c r="E28">
        <v>74</v>
      </c>
      <c r="F28">
        <v>75</v>
      </c>
      <c r="G28">
        <v>73</v>
      </c>
      <c r="H28">
        <v>80</v>
      </c>
      <c r="I28" s="13">
        <v>78</v>
      </c>
      <c r="J28">
        <v>29</v>
      </c>
      <c r="K28">
        <v>30</v>
      </c>
      <c r="L28">
        <v>55</v>
      </c>
      <c r="M28">
        <v>30</v>
      </c>
      <c r="N28">
        <v>34</v>
      </c>
      <c r="O28">
        <v>22</v>
      </c>
      <c r="P28">
        <v>27</v>
      </c>
      <c r="Q28">
        <v>27</v>
      </c>
      <c r="R28" s="14">
        <v>64</v>
      </c>
      <c r="S28">
        <v>72</v>
      </c>
      <c r="T28">
        <v>55</v>
      </c>
      <c r="U28">
        <v>54</v>
      </c>
      <c r="V28">
        <v>61</v>
      </c>
      <c r="W28">
        <v>66</v>
      </c>
      <c r="X28">
        <v>60</v>
      </c>
      <c r="Y28">
        <v>66</v>
      </c>
      <c r="Z28" s="14">
        <v>72</v>
      </c>
      <c r="AA28">
        <v>60</v>
      </c>
      <c r="AB28">
        <v>66</v>
      </c>
      <c r="AC28">
        <v>65</v>
      </c>
      <c r="AD28">
        <v>70</v>
      </c>
      <c r="AE28">
        <v>77</v>
      </c>
      <c r="AF28">
        <v>62</v>
      </c>
      <c r="AG28">
        <v>76</v>
      </c>
    </row>
    <row r="29" spans="1:33" x14ac:dyDescent="0.25">
      <c r="A29" t="s">
        <v>187</v>
      </c>
      <c r="B29">
        <v>35</v>
      </c>
      <c r="C29">
        <v>42</v>
      </c>
      <c r="D29">
        <v>41</v>
      </c>
      <c r="E29">
        <v>52</v>
      </c>
      <c r="F29">
        <v>30</v>
      </c>
      <c r="G29">
        <v>35</v>
      </c>
      <c r="H29">
        <v>33</v>
      </c>
      <c r="I29" s="13">
        <v>40</v>
      </c>
      <c r="J29">
        <v>40</v>
      </c>
      <c r="K29">
        <v>38</v>
      </c>
      <c r="L29">
        <v>49</v>
      </c>
      <c r="M29">
        <v>57</v>
      </c>
      <c r="N29">
        <v>32</v>
      </c>
      <c r="O29">
        <v>57</v>
      </c>
      <c r="P29">
        <v>25</v>
      </c>
      <c r="Q29">
        <v>27</v>
      </c>
      <c r="R29" s="14">
        <v>45</v>
      </c>
      <c r="S29">
        <v>51</v>
      </c>
      <c r="T29">
        <v>41</v>
      </c>
      <c r="U29">
        <v>50</v>
      </c>
      <c r="V29">
        <v>62</v>
      </c>
      <c r="W29">
        <v>37</v>
      </c>
      <c r="X29">
        <v>33</v>
      </c>
      <c r="Y29">
        <v>56</v>
      </c>
      <c r="Z29" s="14">
        <v>50</v>
      </c>
      <c r="AA29">
        <v>42</v>
      </c>
      <c r="AB29">
        <v>64</v>
      </c>
      <c r="AC29">
        <v>66</v>
      </c>
      <c r="AD29">
        <v>58</v>
      </c>
      <c r="AE29">
        <v>58</v>
      </c>
      <c r="AF29">
        <v>54</v>
      </c>
      <c r="AG29">
        <v>37</v>
      </c>
    </row>
    <row r="30" spans="1:33" x14ac:dyDescent="0.25">
      <c r="A30" t="s">
        <v>186</v>
      </c>
      <c r="B30">
        <v>6</v>
      </c>
      <c r="C30">
        <v>61</v>
      </c>
      <c r="D30">
        <v>60</v>
      </c>
      <c r="E30">
        <v>28</v>
      </c>
      <c r="F30">
        <v>18</v>
      </c>
      <c r="G30">
        <v>31</v>
      </c>
      <c r="H30">
        <v>38</v>
      </c>
      <c r="I30" s="13">
        <v>17</v>
      </c>
      <c r="J30">
        <v>3</v>
      </c>
      <c r="K30">
        <v>10</v>
      </c>
      <c r="L30">
        <v>38</v>
      </c>
      <c r="M30">
        <v>6</v>
      </c>
      <c r="N30">
        <v>5</v>
      </c>
      <c r="O30">
        <v>9</v>
      </c>
      <c r="P30">
        <v>15</v>
      </c>
      <c r="Q30">
        <v>5</v>
      </c>
      <c r="R30" s="14">
        <v>74</v>
      </c>
      <c r="S30">
        <v>72</v>
      </c>
      <c r="T30">
        <v>61</v>
      </c>
      <c r="U30">
        <v>74</v>
      </c>
      <c r="V30">
        <v>77</v>
      </c>
      <c r="W30">
        <v>60</v>
      </c>
      <c r="X30">
        <v>45</v>
      </c>
      <c r="Y30">
        <v>61</v>
      </c>
      <c r="Z30" s="14">
        <v>67</v>
      </c>
      <c r="AA30">
        <v>73</v>
      </c>
      <c r="AB30">
        <v>27</v>
      </c>
      <c r="AC30">
        <v>75</v>
      </c>
      <c r="AD30">
        <v>41</v>
      </c>
      <c r="AE30">
        <v>66</v>
      </c>
      <c r="AF30">
        <v>8</v>
      </c>
      <c r="AG30">
        <v>50</v>
      </c>
    </row>
    <row r="32" spans="1:33" s="25" customFormat="1" x14ac:dyDescent="0.25">
      <c r="A32" s="25" t="s">
        <v>1</v>
      </c>
      <c r="I32" s="30"/>
      <c r="R32" s="31"/>
      <c r="Z32" s="31"/>
    </row>
    <row r="33" spans="1:33" x14ac:dyDescent="0.25">
      <c r="A33" t="s">
        <v>3</v>
      </c>
      <c r="B33">
        <v>37</v>
      </c>
      <c r="C33">
        <v>31</v>
      </c>
      <c r="D33">
        <v>33</v>
      </c>
      <c r="E33">
        <v>20</v>
      </c>
      <c r="F33">
        <v>19</v>
      </c>
      <c r="G33">
        <v>25</v>
      </c>
      <c r="H33">
        <v>29</v>
      </c>
      <c r="I33" s="13">
        <v>19</v>
      </c>
      <c r="J33" s="7"/>
      <c r="K33" s="7"/>
      <c r="L33" s="7"/>
      <c r="M33" s="7"/>
      <c r="N33" s="7"/>
      <c r="O33" s="7"/>
      <c r="P33" s="7"/>
      <c r="Q33" s="7"/>
      <c r="R33" s="14">
        <v>17</v>
      </c>
      <c r="S33">
        <v>48</v>
      </c>
      <c r="T33">
        <v>36</v>
      </c>
      <c r="U33">
        <v>67</v>
      </c>
      <c r="V33">
        <v>44</v>
      </c>
      <c r="X33">
        <v>43</v>
      </c>
      <c r="Y33">
        <v>27</v>
      </c>
      <c r="Z33" s="14">
        <v>18</v>
      </c>
      <c r="AA33">
        <v>50</v>
      </c>
      <c r="AB33">
        <v>63</v>
      </c>
      <c r="AC33">
        <v>36</v>
      </c>
      <c r="AD33">
        <v>40</v>
      </c>
      <c r="AE33">
        <v>50</v>
      </c>
      <c r="AF33">
        <v>71</v>
      </c>
      <c r="AG33">
        <v>27</v>
      </c>
    </row>
    <row r="34" spans="1:33" x14ac:dyDescent="0.25">
      <c r="A34" t="s">
        <v>13</v>
      </c>
      <c r="B34">
        <v>27</v>
      </c>
      <c r="C34">
        <v>40</v>
      </c>
      <c r="D34">
        <v>71</v>
      </c>
      <c r="E34">
        <v>18</v>
      </c>
      <c r="F34">
        <v>18</v>
      </c>
      <c r="G34">
        <v>39</v>
      </c>
      <c r="H34">
        <v>36</v>
      </c>
      <c r="I34" s="13">
        <v>55</v>
      </c>
      <c r="J34" s="7"/>
      <c r="K34" s="7"/>
      <c r="L34" s="7"/>
      <c r="M34" s="7"/>
      <c r="N34" s="7"/>
      <c r="O34" s="7"/>
      <c r="P34" s="7"/>
      <c r="Q34" s="7"/>
      <c r="R34" s="14">
        <v>61</v>
      </c>
      <c r="S34">
        <v>27</v>
      </c>
      <c r="T34">
        <v>59</v>
      </c>
      <c r="U34">
        <v>63</v>
      </c>
      <c r="V34">
        <v>59</v>
      </c>
      <c r="W34">
        <v>61</v>
      </c>
      <c r="X34">
        <v>74</v>
      </c>
      <c r="Y34">
        <v>58</v>
      </c>
      <c r="Z34" s="14">
        <v>32</v>
      </c>
      <c r="AA34">
        <v>43</v>
      </c>
      <c r="AB34">
        <v>34</v>
      </c>
      <c r="AC34">
        <v>26</v>
      </c>
      <c r="AD34">
        <v>3</v>
      </c>
      <c r="AE34">
        <v>35</v>
      </c>
      <c r="AF34">
        <v>22</v>
      </c>
      <c r="AG34">
        <v>59</v>
      </c>
    </row>
    <row r="35" spans="1:33" x14ac:dyDescent="0.25">
      <c r="A35" t="s">
        <v>68</v>
      </c>
      <c r="B35">
        <v>62</v>
      </c>
      <c r="C35">
        <v>57</v>
      </c>
      <c r="D35">
        <v>80</v>
      </c>
      <c r="E35">
        <v>77</v>
      </c>
      <c r="F35">
        <v>72</v>
      </c>
      <c r="G35">
        <v>54</v>
      </c>
      <c r="H35">
        <v>75</v>
      </c>
      <c r="I35" s="13">
        <v>37</v>
      </c>
      <c r="J35" s="7"/>
      <c r="K35" s="7"/>
      <c r="L35" s="7"/>
      <c r="M35" s="7"/>
      <c r="N35" s="7"/>
      <c r="O35" s="7"/>
      <c r="P35" s="7"/>
      <c r="Q35" s="7"/>
      <c r="R35" s="14">
        <v>32</v>
      </c>
      <c r="S35">
        <v>71</v>
      </c>
      <c r="T35">
        <v>46</v>
      </c>
      <c r="U35">
        <v>79</v>
      </c>
      <c r="V35">
        <v>68</v>
      </c>
      <c r="W35">
        <v>75</v>
      </c>
      <c r="X35">
        <v>45</v>
      </c>
      <c r="Y35">
        <v>53</v>
      </c>
      <c r="Z35" s="14">
        <v>62</v>
      </c>
      <c r="AA35">
        <v>60</v>
      </c>
      <c r="AB35">
        <v>47</v>
      </c>
      <c r="AC35">
        <v>14</v>
      </c>
      <c r="AD35">
        <v>70</v>
      </c>
      <c r="AE35">
        <v>71</v>
      </c>
      <c r="AF35">
        <v>47</v>
      </c>
      <c r="AG35">
        <v>77</v>
      </c>
    </row>
    <row r="36" spans="1:33" x14ac:dyDescent="0.25">
      <c r="A36" t="s">
        <v>69</v>
      </c>
      <c r="B36">
        <v>87</v>
      </c>
      <c r="C36">
        <v>90</v>
      </c>
      <c r="D36">
        <v>98</v>
      </c>
      <c r="E36">
        <v>82</v>
      </c>
      <c r="F36">
        <v>81</v>
      </c>
      <c r="G36">
        <v>49</v>
      </c>
      <c r="H36">
        <v>88</v>
      </c>
      <c r="I36" s="13">
        <v>86</v>
      </c>
      <c r="J36">
        <v>35</v>
      </c>
      <c r="K36">
        <v>43</v>
      </c>
      <c r="L36">
        <v>45</v>
      </c>
      <c r="M36">
        <v>45</v>
      </c>
      <c r="N36">
        <v>34</v>
      </c>
      <c r="O36">
        <v>33</v>
      </c>
      <c r="P36">
        <v>3</v>
      </c>
      <c r="Q36">
        <v>36</v>
      </c>
      <c r="R36" s="14">
        <v>94</v>
      </c>
      <c r="S36">
        <v>90</v>
      </c>
      <c r="T36">
        <v>67</v>
      </c>
      <c r="U36">
        <v>98</v>
      </c>
      <c r="V36">
        <v>78</v>
      </c>
      <c r="W36">
        <v>96</v>
      </c>
      <c r="X36">
        <v>87</v>
      </c>
      <c r="Y36">
        <v>75</v>
      </c>
      <c r="Z36" s="14">
        <v>92</v>
      </c>
      <c r="AA36">
        <v>92</v>
      </c>
      <c r="AB36">
        <v>81</v>
      </c>
      <c r="AC36">
        <v>73</v>
      </c>
      <c r="AD36">
        <v>81</v>
      </c>
      <c r="AE36">
        <v>94</v>
      </c>
      <c r="AF36">
        <v>79</v>
      </c>
      <c r="AG36">
        <v>68</v>
      </c>
    </row>
    <row r="37" spans="1:33" x14ac:dyDescent="0.25">
      <c r="A37" t="s">
        <v>70</v>
      </c>
      <c r="B37">
        <v>43</v>
      </c>
      <c r="C37">
        <v>79</v>
      </c>
      <c r="D37">
        <v>79</v>
      </c>
      <c r="E37">
        <v>53</v>
      </c>
      <c r="F37">
        <v>63</v>
      </c>
      <c r="G37">
        <v>63</v>
      </c>
      <c r="H37">
        <v>71</v>
      </c>
      <c r="I37" s="13">
        <v>81</v>
      </c>
      <c r="J37">
        <v>0</v>
      </c>
      <c r="K37">
        <v>1</v>
      </c>
      <c r="L37">
        <v>0</v>
      </c>
      <c r="M37">
        <v>0</v>
      </c>
      <c r="N37">
        <v>1</v>
      </c>
      <c r="O37">
        <v>8</v>
      </c>
      <c r="P37">
        <v>3</v>
      </c>
      <c r="Q37">
        <v>0</v>
      </c>
      <c r="R37" s="14">
        <v>76</v>
      </c>
      <c r="S37">
        <v>87</v>
      </c>
      <c r="T37">
        <v>85</v>
      </c>
      <c r="U37">
        <v>71</v>
      </c>
      <c r="V37">
        <v>83</v>
      </c>
      <c r="W37">
        <v>15</v>
      </c>
      <c r="X37">
        <v>84</v>
      </c>
      <c r="Y37">
        <v>90</v>
      </c>
      <c r="Z37" s="14">
        <v>95</v>
      </c>
      <c r="AA37">
        <v>92</v>
      </c>
      <c r="AB37">
        <v>79</v>
      </c>
      <c r="AC37">
        <v>85</v>
      </c>
      <c r="AD37">
        <v>51</v>
      </c>
      <c r="AE37">
        <v>75</v>
      </c>
      <c r="AF37">
        <v>62</v>
      </c>
      <c r="AG37">
        <v>93</v>
      </c>
    </row>
    <row r="38" spans="1:33" x14ac:dyDescent="0.25">
      <c r="A38" t="s">
        <v>74</v>
      </c>
      <c r="B38">
        <v>76</v>
      </c>
      <c r="C38">
        <v>81</v>
      </c>
      <c r="D38">
        <v>87</v>
      </c>
      <c r="E38">
        <v>81</v>
      </c>
      <c r="F38">
        <v>79</v>
      </c>
      <c r="G38">
        <v>69</v>
      </c>
      <c r="H38">
        <v>78</v>
      </c>
      <c r="I38" s="13">
        <v>70</v>
      </c>
      <c r="J38">
        <v>38</v>
      </c>
      <c r="K38">
        <v>37</v>
      </c>
      <c r="L38">
        <v>29</v>
      </c>
      <c r="M38">
        <v>28</v>
      </c>
      <c r="N38">
        <v>49</v>
      </c>
      <c r="O38">
        <v>50</v>
      </c>
      <c r="P38">
        <v>49</v>
      </c>
      <c r="Q38">
        <v>38</v>
      </c>
      <c r="R38" s="14">
        <v>73</v>
      </c>
      <c r="S38">
        <v>82</v>
      </c>
      <c r="T38">
        <v>69</v>
      </c>
      <c r="U38">
        <v>89</v>
      </c>
      <c r="V38">
        <v>89</v>
      </c>
      <c r="W38">
        <v>80</v>
      </c>
      <c r="X38">
        <v>82</v>
      </c>
      <c r="Y38">
        <v>51</v>
      </c>
      <c r="Z38" s="14">
        <v>71</v>
      </c>
      <c r="AA38">
        <v>82</v>
      </c>
      <c r="AB38">
        <v>72</v>
      </c>
      <c r="AC38">
        <v>79</v>
      </c>
      <c r="AD38">
        <v>63</v>
      </c>
      <c r="AE38">
        <v>77</v>
      </c>
      <c r="AF38">
        <v>57</v>
      </c>
      <c r="AG38">
        <v>84</v>
      </c>
    </row>
    <row r="39" spans="1:33" x14ac:dyDescent="0.25">
      <c r="A39" t="s">
        <v>79</v>
      </c>
      <c r="B39">
        <v>58</v>
      </c>
      <c r="C39">
        <v>28</v>
      </c>
      <c r="D39">
        <v>91</v>
      </c>
      <c r="E39">
        <v>60</v>
      </c>
      <c r="F39">
        <v>93</v>
      </c>
      <c r="G39">
        <v>66</v>
      </c>
      <c r="H39">
        <v>81</v>
      </c>
      <c r="I39" s="13">
        <v>67</v>
      </c>
      <c r="J39">
        <v>19</v>
      </c>
      <c r="K39">
        <v>7</v>
      </c>
      <c r="L39">
        <v>35</v>
      </c>
      <c r="M39">
        <v>21</v>
      </c>
      <c r="N39">
        <v>23</v>
      </c>
      <c r="O39">
        <v>23</v>
      </c>
      <c r="P39">
        <v>18</v>
      </c>
      <c r="Q39">
        <v>22</v>
      </c>
      <c r="R39" s="14">
        <v>77</v>
      </c>
      <c r="S39">
        <v>85</v>
      </c>
      <c r="T39">
        <v>99</v>
      </c>
      <c r="U39">
        <v>78</v>
      </c>
      <c r="V39">
        <v>74</v>
      </c>
      <c r="W39">
        <v>23</v>
      </c>
      <c r="X39">
        <v>99</v>
      </c>
      <c r="Y39">
        <v>100</v>
      </c>
      <c r="Z39" s="14">
        <v>88</v>
      </c>
      <c r="AA39">
        <v>72</v>
      </c>
      <c r="AB39">
        <v>91</v>
      </c>
      <c r="AC39">
        <v>87</v>
      </c>
      <c r="AD39">
        <v>63</v>
      </c>
      <c r="AE39">
        <v>77</v>
      </c>
      <c r="AF39">
        <v>67</v>
      </c>
      <c r="AG39">
        <v>71</v>
      </c>
    </row>
    <row r="40" spans="1:33" x14ac:dyDescent="0.25">
      <c r="A40" t="s">
        <v>80</v>
      </c>
      <c r="B40">
        <v>63</v>
      </c>
      <c r="C40">
        <v>69</v>
      </c>
      <c r="D40">
        <v>67</v>
      </c>
      <c r="E40">
        <v>78</v>
      </c>
      <c r="F40">
        <v>36</v>
      </c>
      <c r="G40">
        <v>2</v>
      </c>
      <c r="H40">
        <v>24</v>
      </c>
      <c r="I40" s="13">
        <v>39</v>
      </c>
      <c r="J40">
        <v>1</v>
      </c>
      <c r="K40">
        <v>14</v>
      </c>
      <c r="L40">
        <v>4</v>
      </c>
      <c r="M40">
        <v>23</v>
      </c>
      <c r="N40">
        <v>20</v>
      </c>
      <c r="O40">
        <v>1</v>
      </c>
      <c r="P40">
        <v>11</v>
      </c>
      <c r="Q40">
        <v>0</v>
      </c>
      <c r="R40" s="14">
        <v>43</v>
      </c>
      <c r="S40">
        <v>82</v>
      </c>
      <c r="T40">
        <v>71</v>
      </c>
      <c r="U40">
        <v>92</v>
      </c>
      <c r="V40">
        <v>46</v>
      </c>
      <c r="W40">
        <v>64</v>
      </c>
      <c r="X40">
        <v>25</v>
      </c>
      <c r="Y40">
        <v>62</v>
      </c>
      <c r="Z40" s="14">
        <v>13</v>
      </c>
      <c r="AA40">
        <v>72</v>
      </c>
      <c r="AB40">
        <v>65</v>
      </c>
      <c r="AC40">
        <v>76</v>
      </c>
      <c r="AD40">
        <v>22</v>
      </c>
      <c r="AE40">
        <v>6</v>
      </c>
      <c r="AF40">
        <v>38</v>
      </c>
      <c r="AG40">
        <v>86</v>
      </c>
    </row>
    <row r="41" spans="1:33" x14ac:dyDescent="0.25">
      <c r="A41" t="s">
        <v>86</v>
      </c>
      <c r="B41">
        <v>60</v>
      </c>
      <c r="C41">
        <v>70</v>
      </c>
      <c r="D41">
        <v>32</v>
      </c>
      <c r="E41">
        <v>72</v>
      </c>
      <c r="F41">
        <v>68</v>
      </c>
      <c r="G41">
        <v>62</v>
      </c>
      <c r="H41">
        <v>75</v>
      </c>
      <c r="I41" s="13">
        <v>64</v>
      </c>
      <c r="J41">
        <v>33</v>
      </c>
      <c r="K41">
        <v>23</v>
      </c>
      <c r="L41">
        <v>60</v>
      </c>
      <c r="M41">
        <v>18</v>
      </c>
      <c r="N41">
        <v>36</v>
      </c>
      <c r="O41">
        <v>15</v>
      </c>
      <c r="P41">
        <v>21</v>
      </c>
      <c r="Q41">
        <v>30</v>
      </c>
      <c r="R41" s="14">
        <v>67</v>
      </c>
      <c r="S41">
        <v>80</v>
      </c>
      <c r="T41">
        <v>70</v>
      </c>
      <c r="U41">
        <v>47</v>
      </c>
      <c r="V41">
        <v>46</v>
      </c>
      <c r="W41">
        <v>65</v>
      </c>
      <c r="X41">
        <v>67</v>
      </c>
      <c r="Y41">
        <v>62</v>
      </c>
      <c r="Z41" s="14">
        <v>74</v>
      </c>
      <c r="AA41">
        <v>49</v>
      </c>
      <c r="AB41">
        <v>70</v>
      </c>
      <c r="AC41">
        <v>76</v>
      </c>
      <c r="AD41">
        <v>46</v>
      </c>
      <c r="AE41">
        <v>62</v>
      </c>
      <c r="AF41">
        <v>68</v>
      </c>
      <c r="AG41">
        <v>64</v>
      </c>
    </row>
    <row r="42" spans="1:33" x14ac:dyDescent="0.25">
      <c r="A42" t="s">
        <v>92</v>
      </c>
      <c r="B42">
        <v>33</v>
      </c>
      <c r="C42">
        <v>73</v>
      </c>
      <c r="D42">
        <v>77</v>
      </c>
      <c r="E42">
        <v>53</v>
      </c>
      <c r="F42">
        <v>35</v>
      </c>
      <c r="G42">
        <v>76</v>
      </c>
      <c r="H42">
        <v>83</v>
      </c>
      <c r="I42" s="13">
        <v>88</v>
      </c>
      <c r="J42">
        <v>3</v>
      </c>
      <c r="K42">
        <v>25</v>
      </c>
      <c r="L42">
        <v>20</v>
      </c>
      <c r="M42">
        <v>17</v>
      </c>
      <c r="N42">
        <v>58</v>
      </c>
      <c r="O42">
        <v>56</v>
      </c>
      <c r="P42">
        <v>44</v>
      </c>
      <c r="Q42">
        <v>54</v>
      </c>
      <c r="R42" s="14">
        <v>79</v>
      </c>
      <c r="S42">
        <v>89</v>
      </c>
      <c r="T42">
        <v>76</v>
      </c>
      <c r="U42">
        <v>76</v>
      </c>
      <c r="V42">
        <v>23</v>
      </c>
      <c r="W42">
        <v>75</v>
      </c>
      <c r="X42">
        <v>51</v>
      </c>
      <c r="Y42">
        <v>71</v>
      </c>
      <c r="Z42" s="14">
        <v>48</v>
      </c>
      <c r="AA42">
        <v>25</v>
      </c>
      <c r="AB42">
        <v>75</v>
      </c>
      <c r="AC42">
        <v>57</v>
      </c>
      <c r="AD42">
        <v>69</v>
      </c>
      <c r="AE42">
        <v>68</v>
      </c>
      <c r="AF42">
        <v>71</v>
      </c>
      <c r="AG42">
        <v>77</v>
      </c>
    </row>
    <row r="43" spans="1:33" x14ac:dyDescent="0.25">
      <c r="A43" t="s">
        <v>93</v>
      </c>
      <c r="B43">
        <v>55</v>
      </c>
      <c r="C43">
        <v>39</v>
      </c>
      <c r="D43">
        <v>36</v>
      </c>
      <c r="E43">
        <v>45</v>
      </c>
      <c r="F43">
        <v>44</v>
      </c>
      <c r="G43">
        <v>73</v>
      </c>
      <c r="H43">
        <v>66</v>
      </c>
      <c r="I43" s="13">
        <v>59</v>
      </c>
      <c r="J43">
        <v>30</v>
      </c>
      <c r="K43">
        <v>42</v>
      </c>
      <c r="L43">
        <v>35</v>
      </c>
      <c r="M43">
        <v>33</v>
      </c>
      <c r="N43">
        <v>35</v>
      </c>
      <c r="O43">
        <v>24</v>
      </c>
      <c r="P43">
        <v>21</v>
      </c>
      <c r="Q43">
        <v>22</v>
      </c>
      <c r="R43" s="14">
        <v>81</v>
      </c>
      <c r="S43">
        <v>74</v>
      </c>
      <c r="T43">
        <v>74</v>
      </c>
      <c r="U43">
        <v>89</v>
      </c>
      <c r="V43">
        <v>70</v>
      </c>
      <c r="W43">
        <v>69</v>
      </c>
      <c r="X43">
        <v>68</v>
      </c>
      <c r="Y43">
        <v>68</v>
      </c>
      <c r="Z43" s="14">
        <v>41</v>
      </c>
      <c r="AA43">
        <v>50</v>
      </c>
      <c r="AB43">
        <v>83</v>
      </c>
      <c r="AC43">
        <v>66</v>
      </c>
      <c r="AD43">
        <v>66</v>
      </c>
      <c r="AE43">
        <v>74</v>
      </c>
      <c r="AF43">
        <v>70</v>
      </c>
      <c r="AG43">
        <v>76</v>
      </c>
    </row>
    <row r="44" spans="1:33" x14ac:dyDescent="0.25">
      <c r="A44" t="s">
        <v>110</v>
      </c>
      <c r="B44">
        <v>78</v>
      </c>
      <c r="C44">
        <v>79</v>
      </c>
      <c r="D44">
        <v>46</v>
      </c>
      <c r="E44">
        <v>47</v>
      </c>
      <c r="F44">
        <v>71</v>
      </c>
      <c r="G44">
        <v>69</v>
      </c>
      <c r="H44">
        <v>81</v>
      </c>
      <c r="I44" s="13">
        <v>79</v>
      </c>
      <c r="J44">
        <v>14</v>
      </c>
      <c r="K44">
        <v>14</v>
      </c>
      <c r="L44">
        <v>8</v>
      </c>
      <c r="M44">
        <v>6</v>
      </c>
      <c r="N44">
        <v>4</v>
      </c>
      <c r="O44">
        <v>9</v>
      </c>
      <c r="P44">
        <v>8</v>
      </c>
      <c r="Q44">
        <v>0</v>
      </c>
      <c r="R44" s="14">
        <v>82</v>
      </c>
      <c r="S44">
        <v>81</v>
      </c>
      <c r="T44">
        <v>63</v>
      </c>
      <c r="U44">
        <v>69</v>
      </c>
      <c r="V44">
        <v>81</v>
      </c>
      <c r="W44">
        <v>85</v>
      </c>
      <c r="X44">
        <v>85</v>
      </c>
      <c r="Y44">
        <v>83</v>
      </c>
      <c r="Z44" s="14">
        <v>90</v>
      </c>
      <c r="AA44">
        <v>79</v>
      </c>
      <c r="AB44">
        <v>66</v>
      </c>
      <c r="AC44">
        <v>75</v>
      </c>
      <c r="AD44">
        <v>86</v>
      </c>
      <c r="AE44">
        <v>76</v>
      </c>
      <c r="AF44">
        <v>90</v>
      </c>
      <c r="AG44">
        <v>79</v>
      </c>
    </row>
    <row r="45" spans="1:33" s="4" customFormat="1" x14ac:dyDescent="0.25">
      <c r="A45" s="4" t="s">
        <v>120</v>
      </c>
      <c r="B45" s="4">
        <v>38</v>
      </c>
      <c r="C45" s="4">
        <v>51</v>
      </c>
      <c r="D45" s="4">
        <v>46</v>
      </c>
      <c r="E45" s="5"/>
      <c r="F45" s="4">
        <v>81</v>
      </c>
      <c r="G45" s="4">
        <v>57</v>
      </c>
      <c r="H45" s="4">
        <v>42</v>
      </c>
      <c r="I45" s="15">
        <v>56</v>
      </c>
      <c r="J45" s="4">
        <v>13</v>
      </c>
      <c r="K45" s="4">
        <v>10</v>
      </c>
      <c r="L45" s="4">
        <v>18</v>
      </c>
      <c r="M45" s="5"/>
      <c r="N45" s="4">
        <v>14</v>
      </c>
      <c r="O45" s="4">
        <v>17</v>
      </c>
      <c r="P45" s="4">
        <v>9</v>
      </c>
      <c r="Q45" s="4">
        <v>14</v>
      </c>
      <c r="R45" s="16">
        <v>30</v>
      </c>
      <c r="S45" s="4">
        <v>65</v>
      </c>
      <c r="T45" s="4">
        <v>56</v>
      </c>
      <c r="U45" s="5"/>
      <c r="V45" s="4">
        <v>65</v>
      </c>
      <c r="W45" s="4">
        <v>34</v>
      </c>
      <c r="X45" s="4">
        <v>38</v>
      </c>
      <c r="Y45" s="4">
        <v>68</v>
      </c>
      <c r="Z45" s="16">
        <v>61</v>
      </c>
      <c r="AA45" s="4">
        <v>61</v>
      </c>
      <c r="AB45" s="4">
        <v>60</v>
      </c>
      <c r="AC45" s="5"/>
      <c r="AD45" s="4">
        <v>77</v>
      </c>
      <c r="AE45" s="4">
        <v>59</v>
      </c>
      <c r="AF45" s="4">
        <v>34</v>
      </c>
      <c r="AG45" s="4">
        <v>74</v>
      </c>
    </row>
    <row r="46" spans="1:33" x14ac:dyDescent="0.25">
      <c r="A46" t="s">
        <v>125</v>
      </c>
      <c r="B46">
        <v>12</v>
      </c>
      <c r="C46">
        <v>51</v>
      </c>
      <c r="D46">
        <v>70</v>
      </c>
      <c r="E46">
        <v>43</v>
      </c>
      <c r="F46">
        <v>27</v>
      </c>
      <c r="G46">
        <v>50</v>
      </c>
      <c r="H46">
        <v>27</v>
      </c>
      <c r="I46" s="13">
        <v>30</v>
      </c>
      <c r="J46">
        <v>3</v>
      </c>
      <c r="K46">
        <v>15</v>
      </c>
      <c r="L46">
        <v>32</v>
      </c>
      <c r="M46">
        <v>41</v>
      </c>
      <c r="N46">
        <v>24</v>
      </c>
      <c r="O46">
        <v>30</v>
      </c>
      <c r="P46">
        <v>23</v>
      </c>
      <c r="Q46">
        <v>27</v>
      </c>
      <c r="R46" s="14">
        <v>69</v>
      </c>
      <c r="S46">
        <v>59</v>
      </c>
      <c r="T46">
        <v>69</v>
      </c>
      <c r="U46">
        <v>68</v>
      </c>
      <c r="V46">
        <v>61</v>
      </c>
      <c r="W46">
        <v>64</v>
      </c>
      <c r="X46">
        <v>48</v>
      </c>
      <c r="Y46">
        <v>80</v>
      </c>
      <c r="Z46" s="14">
        <v>77</v>
      </c>
      <c r="AA46">
        <v>83</v>
      </c>
      <c r="AB46">
        <v>75</v>
      </c>
      <c r="AC46">
        <v>75</v>
      </c>
      <c r="AD46">
        <v>64</v>
      </c>
      <c r="AE46">
        <v>68</v>
      </c>
      <c r="AF46">
        <v>74</v>
      </c>
      <c r="AG46">
        <v>27</v>
      </c>
    </row>
    <row r="47" spans="1:33" x14ac:dyDescent="0.25">
      <c r="A47" t="s">
        <v>130</v>
      </c>
      <c r="B47">
        <v>48</v>
      </c>
      <c r="C47">
        <v>45</v>
      </c>
      <c r="D47">
        <v>50</v>
      </c>
      <c r="E47">
        <v>42</v>
      </c>
      <c r="F47">
        <v>55</v>
      </c>
      <c r="G47">
        <v>43</v>
      </c>
      <c r="H47">
        <v>41</v>
      </c>
      <c r="I47" s="13">
        <v>59</v>
      </c>
      <c r="J47">
        <v>5</v>
      </c>
      <c r="K47">
        <v>18</v>
      </c>
      <c r="L47">
        <v>21</v>
      </c>
      <c r="M47">
        <v>22</v>
      </c>
      <c r="N47">
        <v>24</v>
      </c>
      <c r="O47">
        <v>13</v>
      </c>
      <c r="P47">
        <v>15</v>
      </c>
      <c r="Q47">
        <v>16</v>
      </c>
      <c r="R47" s="14">
        <v>54</v>
      </c>
      <c r="S47">
        <v>49</v>
      </c>
      <c r="T47">
        <v>43</v>
      </c>
      <c r="U47">
        <v>50</v>
      </c>
      <c r="V47">
        <v>70</v>
      </c>
      <c r="W47">
        <v>60</v>
      </c>
      <c r="X47">
        <v>68</v>
      </c>
      <c r="Y47">
        <v>72</v>
      </c>
      <c r="Z47" s="14">
        <v>35</v>
      </c>
      <c r="AA47">
        <v>43</v>
      </c>
      <c r="AB47">
        <v>61</v>
      </c>
      <c r="AC47">
        <v>65</v>
      </c>
      <c r="AD47">
        <v>58</v>
      </c>
      <c r="AE47">
        <v>66</v>
      </c>
      <c r="AF47">
        <v>44</v>
      </c>
      <c r="AG47">
        <v>59</v>
      </c>
    </row>
    <row r="48" spans="1:33" x14ac:dyDescent="0.25">
      <c r="A48" t="s">
        <v>145</v>
      </c>
      <c r="B48">
        <v>72</v>
      </c>
      <c r="C48">
        <v>39</v>
      </c>
      <c r="D48">
        <v>68</v>
      </c>
      <c r="E48">
        <v>45</v>
      </c>
      <c r="F48">
        <v>54</v>
      </c>
      <c r="G48">
        <v>71</v>
      </c>
      <c r="H48">
        <v>76</v>
      </c>
      <c r="I48" s="13">
        <v>48</v>
      </c>
      <c r="J48">
        <v>37</v>
      </c>
      <c r="K48">
        <v>83</v>
      </c>
      <c r="L48">
        <v>24</v>
      </c>
      <c r="M48">
        <v>8</v>
      </c>
      <c r="N48">
        <v>16</v>
      </c>
      <c r="O48">
        <v>52</v>
      </c>
      <c r="P48">
        <v>51</v>
      </c>
      <c r="Q48">
        <v>10</v>
      </c>
      <c r="R48" s="14">
        <v>79</v>
      </c>
      <c r="S48" s="5"/>
      <c r="T48">
        <v>80</v>
      </c>
      <c r="U48">
        <v>69</v>
      </c>
      <c r="V48">
        <v>75</v>
      </c>
      <c r="W48">
        <v>78</v>
      </c>
      <c r="X48">
        <v>90</v>
      </c>
      <c r="Y48">
        <v>72</v>
      </c>
      <c r="Z48" s="14">
        <v>85</v>
      </c>
      <c r="AA48" s="5"/>
      <c r="AB48">
        <v>64</v>
      </c>
      <c r="AC48">
        <v>73</v>
      </c>
      <c r="AD48">
        <v>70</v>
      </c>
      <c r="AE48">
        <v>86</v>
      </c>
      <c r="AF48">
        <v>75</v>
      </c>
      <c r="AG48">
        <v>70</v>
      </c>
    </row>
    <row r="49" spans="1:39" x14ac:dyDescent="0.25">
      <c r="A49" t="s">
        <v>144</v>
      </c>
      <c r="B49">
        <v>68</v>
      </c>
      <c r="C49">
        <v>66</v>
      </c>
      <c r="D49">
        <v>45</v>
      </c>
      <c r="E49">
        <v>27</v>
      </c>
      <c r="F49">
        <v>73</v>
      </c>
      <c r="G49">
        <v>68</v>
      </c>
      <c r="H49">
        <v>72</v>
      </c>
      <c r="I49" s="13">
        <v>66</v>
      </c>
      <c r="J49">
        <v>31</v>
      </c>
      <c r="K49">
        <v>25</v>
      </c>
      <c r="L49">
        <v>29</v>
      </c>
      <c r="M49">
        <v>62</v>
      </c>
      <c r="N49">
        <v>39</v>
      </c>
      <c r="O49">
        <v>26</v>
      </c>
      <c r="P49">
        <v>44</v>
      </c>
      <c r="Q49">
        <v>58</v>
      </c>
      <c r="R49" s="14">
        <v>42</v>
      </c>
      <c r="S49">
        <v>20</v>
      </c>
      <c r="T49">
        <v>54</v>
      </c>
      <c r="U49">
        <v>43</v>
      </c>
      <c r="V49">
        <v>73</v>
      </c>
      <c r="W49">
        <v>45</v>
      </c>
      <c r="X49">
        <v>57</v>
      </c>
      <c r="Y49">
        <v>79</v>
      </c>
      <c r="Z49" s="14">
        <v>50</v>
      </c>
      <c r="AA49">
        <v>59</v>
      </c>
      <c r="AB49">
        <v>62</v>
      </c>
      <c r="AC49">
        <v>67</v>
      </c>
      <c r="AD49">
        <v>69</v>
      </c>
      <c r="AE49">
        <v>72</v>
      </c>
      <c r="AF49">
        <v>72</v>
      </c>
      <c r="AG49">
        <v>78</v>
      </c>
    </row>
    <row r="50" spans="1:39" x14ac:dyDescent="0.25">
      <c r="A50" t="s">
        <v>132</v>
      </c>
      <c r="B50">
        <v>90</v>
      </c>
      <c r="C50">
        <v>50</v>
      </c>
      <c r="D50">
        <v>81</v>
      </c>
      <c r="E50">
        <v>82</v>
      </c>
      <c r="F50">
        <v>86</v>
      </c>
      <c r="G50">
        <v>66</v>
      </c>
      <c r="H50">
        <v>89</v>
      </c>
      <c r="I50" s="13">
        <v>17</v>
      </c>
      <c r="J50">
        <v>6</v>
      </c>
      <c r="K50">
        <v>11</v>
      </c>
      <c r="L50">
        <v>20</v>
      </c>
      <c r="M50">
        <v>15</v>
      </c>
      <c r="N50">
        <v>39</v>
      </c>
      <c r="O50">
        <v>21</v>
      </c>
      <c r="P50">
        <v>40</v>
      </c>
      <c r="Q50">
        <v>26</v>
      </c>
      <c r="R50" s="14">
        <v>63</v>
      </c>
      <c r="S50">
        <v>39</v>
      </c>
      <c r="T50">
        <v>62</v>
      </c>
      <c r="U50">
        <v>84</v>
      </c>
      <c r="V50">
        <v>81</v>
      </c>
      <c r="W50">
        <v>86</v>
      </c>
      <c r="X50">
        <v>50</v>
      </c>
      <c r="Y50">
        <v>66</v>
      </c>
      <c r="Z50" s="14">
        <v>66</v>
      </c>
      <c r="AA50">
        <v>55</v>
      </c>
      <c r="AB50">
        <v>85</v>
      </c>
      <c r="AC50">
        <v>83</v>
      </c>
      <c r="AD50">
        <v>56</v>
      </c>
      <c r="AE50">
        <v>73</v>
      </c>
      <c r="AF50">
        <v>53</v>
      </c>
      <c r="AG50">
        <v>74</v>
      </c>
    </row>
    <row r="51" spans="1:39" x14ac:dyDescent="0.25">
      <c r="A51" t="s">
        <v>146</v>
      </c>
      <c r="B51">
        <v>22</v>
      </c>
      <c r="C51">
        <v>22</v>
      </c>
      <c r="D51">
        <v>54</v>
      </c>
      <c r="E51">
        <v>15</v>
      </c>
      <c r="F51">
        <v>31</v>
      </c>
      <c r="G51">
        <v>55</v>
      </c>
      <c r="H51">
        <v>60</v>
      </c>
      <c r="I51" s="13">
        <v>38</v>
      </c>
      <c r="J51">
        <v>14</v>
      </c>
      <c r="K51">
        <v>6</v>
      </c>
      <c r="L51">
        <v>10</v>
      </c>
      <c r="M51">
        <v>5</v>
      </c>
      <c r="N51">
        <v>20</v>
      </c>
      <c r="O51">
        <v>11</v>
      </c>
      <c r="P51">
        <v>13</v>
      </c>
      <c r="Q51">
        <v>18</v>
      </c>
      <c r="R51" s="14">
        <v>72</v>
      </c>
      <c r="S51">
        <v>65</v>
      </c>
      <c r="T51">
        <v>77</v>
      </c>
      <c r="U51">
        <v>63</v>
      </c>
      <c r="V51">
        <v>22</v>
      </c>
      <c r="W51">
        <v>65</v>
      </c>
      <c r="X51">
        <v>60</v>
      </c>
      <c r="Y51">
        <v>47</v>
      </c>
      <c r="Z51" s="14">
        <v>59</v>
      </c>
      <c r="AA51">
        <v>67</v>
      </c>
      <c r="AB51">
        <v>74</v>
      </c>
      <c r="AC51">
        <v>68</v>
      </c>
      <c r="AD51">
        <v>51</v>
      </c>
      <c r="AE51">
        <v>27</v>
      </c>
      <c r="AF51">
        <v>62</v>
      </c>
      <c r="AG51">
        <v>42</v>
      </c>
    </row>
    <row r="52" spans="1:39" x14ac:dyDescent="0.25">
      <c r="A52" t="s">
        <v>147</v>
      </c>
      <c r="B52">
        <v>5</v>
      </c>
      <c r="C52">
        <v>53</v>
      </c>
      <c r="D52">
        <v>51</v>
      </c>
      <c r="E52">
        <v>52</v>
      </c>
      <c r="F52">
        <v>22</v>
      </c>
      <c r="G52">
        <v>25</v>
      </c>
      <c r="H52">
        <v>38</v>
      </c>
      <c r="I52" s="13">
        <v>35</v>
      </c>
      <c r="J52">
        <v>4</v>
      </c>
      <c r="K52">
        <v>12</v>
      </c>
      <c r="L52">
        <v>32</v>
      </c>
      <c r="M52">
        <v>5</v>
      </c>
      <c r="N52">
        <v>15</v>
      </c>
      <c r="O52">
        <v>11</v>
      </c>
      <c r="P52">
        <v>10</v>
      </c>
      <c r="Q52">
        <v>19</v>
      </c>
      <c r="R52" s="14">
        <v>40</v>
      </c>
      <c r="S52">
        <v>74</v>
      </c>
      <c r="T52">
        <v>81</v>
      </c>
      <c r="U52">
        <v>90</v>
      </c>
      <c r="V52">
        <v>48</v>
      </c>
      <c r="W52">
        <v>62</v>
      </c>
      <c r="X52">
        <v>57</v>
      </c>
      <c r="Y52">
        <v>49</v>
      </c>
      <c r="Z52" s="14">
        <v>72</v>
      </c>
      <c r="AA52">
        <v>63</v>
      </c>
      <c r="AB52">
        <v>61</v>
      </c>
      <c r="AC52">
        <v>75</v>
      </c>
      <c r="AD52">
        <v>72</v>
      </c>
      <c r="AE52">
        <v>74</v>
      </c>
      <c r="AF52">
        <v>54</v>
      </c>
      <c r="AG52">
        <v>42</v>
      </c>
    </row>
    <row r="53" spans="1:39" x14ac:dyDescent="0.25">
      <c r="A53" t="s">
        <v>155</v>
      </c>
      <c r="B53">
        <v>46</v>
      </c>
      <c r="C53">
        <v>32</v>
      </c>
      <c r="D53">
        <v>10</v>
      </c>
      <c r="E53" s="5"/>
      <c r="F53">
        <v>1</v>
      </c>
      <c r="G53">
        <v>0</v>
      </c>
      <c r="H53">
        <v>0</v>
      </c>
      <c r="I53" s="13">
        <v>0</v>
      </c>
      <c r="J53">
        <v>3</v>
      </c>
      <c r="K53">
        <v>22</v>
      </c>
      <c r="L53">
        <v>14</v>
      </c>
      <c r="M53" s="5"/>
      <c r="N53">
        <v>0</v>
      </c>
      <c r="O53">
        <v>0</v>
      </c>
      <c r="P53">
        <v>0</v>
      </c>
      <c r="Q53">
        <v>0</v>
      </c>
      <c r="R53" s="14">
        <v>0</v>
      </c>
      <c r="S53">
        <v>84</v>
      </c>
      <c r="T53">
        <v>27</v>
      </c>
      <c r="U53" s="5"/>
      <c r="V53">
        <v>0</v>
      </c>
      <c r="W53">
        <v>57</v>
      </c>
      <c r="X53">
        <v>0</v>
      </c>
      <c r="Y53">
        <v>5</v>
      </c>
      <c r="Z53" s="14">
        <v>4</v>
      </c>
      <c r="AA53">
        <v>40</v>
      </c>
      <c r="AB53">
        <v>51</v>
      </c>
      <c r="AC53" s="5"/>
      <c r="AD53">
        <v>0</v>
      </c>
      <c r="AE53">
        <v>4</v>
      </c>
      <c r="AF53">
        <v>2</v>
      </c>
      <c r="AG53">
        <v>23</v>
      </c>
    </row>
    <row r="54" spans="1:39" x14ac:dyDescent="0.25">
      <c r="A54" t="s">
        <v>158</v>
      </c>
      <c r="B54">
        <v>2</v>
      </c>
      <c r="C54">
        <v>51</v>
      </c>
      <c r="D54">
        <v>34</v>
      </c>
      <c r="E54">
        <v>4</v>
      </c>
      <c r="F54">
        <v>44</v>
      </c>
      <c r="G54">
        <v>74</v>
      </c>
      <c r="H54">
        <v>92</v>
      </c>
      <c r="I54" s="13">
        <v>6</v>
      </c>
      <c r="J54" s="19">
        <v>2</v>
      </c>
      <c r="K54" s="19">
        <v>3</v>
      </c>
      <c r="L54" s="19">
        <v>5</v>
      </c>
      <c r="M54" s="19">
        <v>2</v>
      </c>
      <c r="N54">
        <v>5</v>
      </c>
      <c r="O54">
        <v>11</v>
      </c>
      <c r="P54">
        <v>2</v>
      </c>
      <c r="Q54">
        <v>3</v>
      </c>
      <c r="R54" s="14">
        <v>82</v>
      </c>
      <c r="S54" s="19">
        <v>68</v>
      </c>
      <c r="T54" s="19">
        <v>81</v>
      </c>
      <c r="U54" s="19">
        <v>79</v>
      </c>
      <c r="V54" s="5"/>
      <c r="W54">
        <v>92</v>
      </c>
      <c r="X54">
        <v>78</v>
      </c>
      <c r="Y54" s="5"/>
      <c r="Z54" s="14">
        <v>2</v>
      </c>
      <c r="AA54" s="19">
        <v>69</v>
      </c>
      <c r="AB54" s="19">
        <v>78</v>
      </c>
      <c r="AC54" s="19">
        <v>47</v>
      </c>
      <c r="AD54">
        <v>76</v>
      </c>
      <c r="AE54">
        <v>69</v>
      </c>
      <c r="AF54">
        <v>73</v>
      </c>
      <c r="AG54" s="5"/>
    </row>
    <row r="55" spans="1:39" x14ac:dyDescent="0.25">
      <c r="A55" t="s">
        <v>162</v>
      </c>
      <c r="B55">
        <v>40</v>
      </c>
      <c r="C55">
        <v>73</v>
      </c>
      <c r="D55">
        <v>63</v>
      </c>
      <c r="E55">
        <v>25</v>
      </c>
      <c r="F55">
        <v>58</v>
      </c>
      <c r="G55">
        <v>18</v>
      </c>
      <c r="H55">
        <v>36</v>
      </c>
      <c r="I55" s="13">
        <v>23</v>
      </c>
      <c r="J55">
        <v>28</v>
      </c>
      <c r="K55">
        <v>28</v>
      </c>
      <c r="L55">
        <v>25</v>
      </c>
      <c r="M55">
        <v>23</v>
      </c>
      <c r="N55">
        <v>10</v>
      </c>
      <c r="O55">
        <v>8</v>
      </c>
      <c r="P55">
        <v>6</v>
      </c>
      <c r="Q55">
        <v>27</v>
      </c>
      <c r="R55" s="14">
        <v>77</v>
      </c>
      <c r="S55">
        <v>90</v>
      </c>
      <c r="T55">
        <v>85</v>
      </c>
      <c r="U55">
        <v>26</v>
      </c>
      <c r="V55">
        <v>33</v>
      </c>
      <c r="W55">
        <v>56</v>
      </c>
      <c r="X55">
        <v>63</v>
      </c>
      <c r="Y55">
        <v>13</v>
      </c>
      <c r="Z55" s="14">
        <v>76</v>
      </c>
      <c r="AA55">
        <v>83</v>
      </c>
      <c r="AB55">
        <v>59</v>
      </c>
      <c r="AC55">
        <v>32</v>
      </c>
      <c r="AD55">
        <v>66</v>
      </c>
      <c r="AE55">
        <v>60</v>
      </c>
      <c r="AF55" s="5"/>
      <c r="AG55">
        <v>47</v>
      </c>
    </row>
    <row r="56" spans="1:39" x14ac:dyDescent="0.25">
      <c r="A56" t="s">
        <v>160</v>
      </c>
      <c r="B56">
        <v>10</v>
      </c>
      <c r="C56">
        <v>9</v>
      </c>
      <c r="D56">
        <v>20</v>
      </c>
      <c r="E56">
        <v>12</v>
      </c>
      <c r="F56">
        <v>10</v>
      </c>
      <c r="G56">
        <v>15</v>
      </c>
      <c r="H56">
        <v>11</v>
      </c>
      <c r="I56" s="13">
        <v>13</v>
      </c>
      <c r="J56">
        <v>7</v>
      </c>
      <c r="K56">
        <v>17</v>
      </c>
      <c r="L56">
        <v>16</v>
      </c>
      <c r="M56">
        <v>19</v>
      </c>
      <c r="N56">
        <v>16</v>
      </c>
      <c r="O56">
        <v>14</v>
      </c>
      <c r="P56">
        <v>10</v>
      </c>
      <c r="Q56">
        <v>19</v>
      </c>
      <c r="R56" s="14">
        <v>24</v>
      </c>
      <c r="S56">
        <v>16</v>
      </c>
      <c r="T56">
        <v>22</v>
      </c>
      <c r="U56">
        <v>22</v>
      </c>
      <c r="V56">
        <v>30</v>
      </c>
      <c r="W56">
        <v>34</v>
      </c>
      <c r="X56">
        <v>16</v>
      </c>
      <c r="Y56">
        <v>38</v>
      </c>
      <c r="Z56" s="14">
        <v>38</v>
      </c>
      <c r="AA56">
        <v>11</v>
      </c>
      <c r="AB56">
        <v>22</v>
      </c>
      <c r="AC56">
        <v>22</v>
      </c>
      <c r="AD56">
        <v>33</v>
      </c>
      <c r="AE56">
        <v>21</v>
      </c>
      <c r="AF56">
        <v>27</v>
      </c>
      <c r="AG56">
        <v>38</v>
      </c>
    </row>
    <row r="57" spans="1:39" x14ac:dyDescent="0.25">
      <c r="A57" t="s">
        <v>173</v>
      </c>
      <c r="B57">
        <v>64</v>
      </c>
      <c r="C57">
        <v>65</v>
      </c>
      <c r="D57">
        <v>72</v>
      </c>
      <c r="E57">
        <v>79</v>
      </c>
      <c r="F57">
        <v>77</v>
      </c>
      <c r="G57">
        <v>75</v>
      </c>
      <c r="H57">
        <v>72</v>
      </c>
      <c r="I57" s="13">
        <v>69</v>
      </c>
      <c r="J57">
        <v>16</v>
      </c>
      <c r="K57">
        <v>66</v>
      </c>
      <c r="L57">
        <v>51</v>
      </c>
      <c r="M57">
        <v>75</v>
      </c>
      <c r="N57">
        <v>19</v>
      </c>
      <c r="O57">
        <v>53</v>
      </c>
      <c r="P57">
        <v>31</v>
      </c>
      <c r="Q57">
        <v>31</v>
      </c>
      <c r="R57" s="14">
        <v>62</v>
      </c>
      <c r="S57">
        <v>92</v>
      </c>
      <c r="T57">
        <v>60</v>
      </c>
      <c r="U57" s="5"/>
      <c r="V57">
        <v>81</v>
      </c>
      <c r="W57">
        <v>70</v>
      </c>
      <c r="X57">
        <v>75</v>
      </c>
      <c r="Y57">
        <v>90</v>
      </c>
      <c r="Z57" s="14">
        <v>70</v>
      </c>
      <c r="AA57">
        <v>58</v>
      </c>
      <c r="AB57">
        <v>72</v>
      </c>
      <c r="AC57" s="5"/>
      <c r="AD57">
        <v>80</v>
      </c>
      <c r="AE57">
        <v>81</v>
      </c>
      <c r="AF57">
        <v>95</v>
      </c>
      <c r="AG57">
        <v>97</v>
      </c>
    </row>
    <row r="58" spans="1:39" x14ac:dyDescent="0.25">
      <c r="A58" t="s">
        <v>174</v>
      </c>
      <c r="B58">
        <v>23</v>
      </c>
      <c r="C58">
        <v>54</v>
      </c>
      <c r="D58">
        <v>67</v>
      </c>
      <c r="E58">
        <v>55</v>
      </c>
      <c r="F58">
        <v>49</v>
      </c>
      <c r="G58">
        <v>68</v>
      </c>
      <c r="H58">
        <v>62</v>
      </c>
      <c r="I58" s="13">
        <v>72</v>
      </c>
      <c r="J58">
        <v>1</v>
      </c>
      <c r="K58">
        <v>17</v>
      </c>
      <c r="L58">
        <v>20</v>
      </c>
      <c r="M58">
        <v>18</v>
      </c>
      <c r="N58">
        <v>18</v>
      </c>
      <c r="O58">
        <v>17</v>
      </c>
      <c r="P58">
        <v>25</v>
      </c>
      <c r="Q58">
        <v>22</v>
      </c>
      <c r="R58" s="14">
        <v>76</v>
      </c>
      <c r="S58">
        <v>52</v>
      </c>
      <c r="T58">
        <v>58</v>
      </c>
      <c r="U58">
        <v>63</v>
      </c>
      <c r="V58">
        <v>72</v>
      </c>
      <c r="W58">
        <v>73</v>
      </c>
      <c r="X58">
        <v>69</v>
      </c>
      <c r="Y58">
        <v>66</v>
      </c>
      <c r="Z58" s="14">
        <v>81</v>
      </c>
      <c r="AA58">
        <v>73</v>
      </c>
      <c r="AB58">
        <v>71</v>
      </c>
      <c r="AC58">
        <v>78</v>
      </c>
      <c r="AD58">
        <v>54</v>
      </c>
      <c r="AE58">
        <v>70</v>
      </c>
      <c r="AF58">
        <v>70</v>
      </c>
      <c r="AG58">
        <v>75</v>
      </c>
    </row>
    <row r="59" spans="1:39" x14ac:dyDescent="0.25">
      <c r="A59" t="s">
        <v>175</v>
      </c>
      <c r="B59">
        <v>37</v>
      </c>
      <c r="C59">
        <v>61</v>
      </c>
      <c r="D59">
        <v>57</v>
      </c>
      <c r="E59">
        <v>67</v>
      </c>
      <c r="F59">
        <v>67</v>
      </c>
      <c r="G59">
        <v>66</v>
      </c>
      <c r="H59">
        <v>73</v>
      </c>
      <c r="I59" s="13">
        <v>73</v>
      </c>
      <c r="J59">
        <v>23</v>
      </c>
      <c r="K59">
        <v>48</v>
      </c>
      <c r="L59">
        <v>62</v>
      </c>
      <c r="M59">
        <v>58</v>
      </c>
      <c r="N59">
        <v>57</v>
      </c>
      <c r="O59">
        <v>61</v>
      </c>
      <c r="P59">
        <v>46</v>
      </c>
      <c r="Q59">
        <v>44</v>
      </c>
      <c r="R59" s="14">
        <v>51</v>
      </c>
      <c r="S59">
        <v>63</v>
      </c>
      <c r="T59">
        <v>85</v>
      </c>
      <c r="U59">
        <v>75</v>
      </c>
      <c r="V59">
        <v>70</v>
      </c>
      <c r="W59">
        <v>72</v>
      </c>
      <c r="X59">
        <v>73</v>
      </c>
      <c r="Y59">
        <v>73</v>
      </c>
      <c r="Z59" s="14">
        <v>62</v>
      </c>
      <c r="AA59">
        <v>72</v>
      </c>
      <c r="AB59">
        <v>70</v>
      </c>
      <c r="AC59">
        <v>80</v>
      </c>
      <c r="AD59">
        <v>51</v>
      </c>
      <c r="AE59">
        <v>39</v>
      </c>
      <c r="AF59">
        <v>51</v>
      </c>
      <c r="AG59">
        <v>50</v>
      </c>
    </row>
    <row r="60" spans="1:39" x14ac:dyDescent="0.25">
      <c r="A60" t="s">
        <v>187</v>
      </c>
      <c r="B60">
        <v>51</v>
      </c>
      <c r="C60">
        <v>28</v>
      </c>
      <c r="D60">
        <v>42</v>
      </c>
      <c r="E60">
        <v>63</v>
      </c>
      <c r="F60">
        <v>42</v>
      </c>
      <c r="G60">
        <v>40</v>
      </c>
      <c r="H60">
        <v>46</v>
      </c>
      <c r="I60" s="13">
        <v>45</v>
      </c>
      <c r="J60">
        <v>19</v>
      </c>
      <c r="K60">
        <v>63</v>
      </c>
      <c r="L60">
        <v>32</v>
      </c>
      <c r="M60">
        <v>37</v>
      </c>
      <c r="N60">
        <v>29</v>
      </c>
      <c r="O60">
        <v>28</v>
      </c>
      <c r="P60">
        <v>32</v>
      </c>
      <c r="Q60">
        <v>46</v>
      </c>
      <c r="R60" s="14">
        <v>68</v>
      </c>
      <c r="S60">
        <v>61</v>
      </c>
      <c r="T60">
        <v>59</v>
      </c>
      <c r="U60">
        <v>58</v>
      </c>
      <c r="V60">
        <v>62</v>
      </c>
      <c r="W60">
        <v>38</v>
      </c>
      <c r="X60">
        <v>63</v>
      </c>
      <c r="Y60">
        <v>47</v>
      </c>
      <c r="Z60" s="14">
        <v>69</v>
      </c>
      <c r="AA60">
        <v>49</v>
      </c>
      <c r="AB60">
        <v>45</v>
      </c>
      <c r="AC60">
        <v>66</v>
      </c>
      <c r="AD60">
        <v>66</v>
      </c>
      <c r="AE60">
        <v>46</v>
      </c>
      <c r="AF60">
        <v>45</v>
      </c>
      <c r="AG60">
        <v>70</v>
      </c>
    </row>
    <row r="61" spans="1:39" x14ac:dyDescent="0.25">
      <c r="A61" t="s">
        <v>186</v>
      </c>
      <c r="B61">
        <v>56</v>
      </c>
      <c r="C61">
        <v>49</v>
      </c>
      <c r="D61">
        <v>59</v>
      </c>
      <c r="E61">
        <v>63</v>
      </c>
      <c r="F61">
        <v>64</v>
      </c>
      <c r="G61">
        <v>66</v>
      </c>
      <c r="H61">
        <v>77</v>
      </c>
      <c r="I61" s="13">
        <v>74</v>
      </c>
      <c r="J61">
        <v>16</v>
      </c>
      <c r="K61">
        <v>8</v>
      </c>
      <c r="L61">
        <v>12</v>
      </c>
      <c r="M61">
        <v>14</v>
      </c>
      <c r="N61">
        <v>16</v>
      </c>
      <c r="O61">
        <v>31</v>
      </c>
      <c r="P61">
        <v>14</v>
      </c>
      <c r="Q61">
        <v>8</v>
      </c>
      <c r="R61" s="14">
        <v>68</v>
      </c>
      <c r="S61">
        <v>88</v>
      </c>
      <c r="T61">
        <v>56</v>
      </c>
      <c r="U61">
        <v>83</v>
      </c>
      <c r="V61">
        <v>69</v>
      </c>
      <c r="W61">
        <v>58</v>
      </c>
      <c r="X61">
        <v>61</v>
      </c>
      <c r="Y61">
        <v>86</v>
      </c>
      <c r="Z61" s="14">
        <v>75</v>
      </c>
      <c r="AA61">
        <v>26</v>
      </c>
      <c r="AB61">
        <v>80</v>
      </c>
      <c r="AC61">
        <v>73</v>
      </c>
      <c r="AD61">
        <v>83</v>
      </c>
      <c r="AE61">
        <v>79</v>
      </c>
      <c r="AF61">
        <v>69</v>
      </c>
      <c r="AG61">
        <v>80</v>
      </c>
    </row>
    <row r="63" spans="1:39" x14ac:dyDescent="0.25">
      <c r="AI63" s="25"/>
      <c r="AJ63" s="37"/>
      <c r="AK63" s="37"/>
      <c r="AL63" s="37"/>
      <c r="AM63" s="37"/>
    </row>
    <row r="65" spans="35:39" x14ac:dyDescent="0.25">
      <c r="AI65" s="25"/>
      <c r="AJ65" s="12"/>
      <c r="AK65" s="12"/>
      <c r="AL65" s="12"/>
      <c r="AM65" s="12"/>
    </row>
    <row r="66" spans="35:39" x14ac:dyDescent="0.25">
      <c r="AI66" s="25"/>
      <c r="AJ66" s="12"/>
      <c r="AK66" s="12"/>
      <c r="AL66" s="12"/>
      <c r="AM66" s="12"/>
    </row>
    <row r="67" spans="35:39" x14ac:dyDescent="0.25">
      <c r="AJ67" s="25"/>
      <c r="AK67" s="25"/>
      <c r="AL67" s="25"/>
      <c r="AM67" s="25"/>
    </row>
    <row r="68" spans="35:39" x14ac:dyDescent="0.25">
      <c r="AI68" s="25"/>
      <c r="AJ68" s="12"/>
      <c r="AK68" s="12"/>
      <c r="AL68" s="12"/>
      <c r="AM68" s="12"/>
    </row>
    <row r="69" spans="35:39" x14ac:dyDescent="0.25">
      <c r="AI69" s="25"/>
      <c r="AJ69" s="12"/>
      <c r="AK69" s="12"/>
      <c r="AL69" s="12"/>
      <c r="AM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AR69"/>
  <sheetViews>
    <sheetView zoomScale="55" zoomScaleNormal="55" workbookViewId="0">
      <selection activeCell="AI30" sqref="AI30"/>
    </sheetView>
  </sheetViews>
  <sheetFormatPr defaultRowHeight="15" x14ac:dyDescent="0.25"/>
  <cols>
    <col min="10" max="10" width="9.140625" style="14"/>
    <col min="18" max="18" width="9.140625" style="14"/>
    <col min="26" max="26" width="9.140625" style="14"/>
  </cols>
  <sheetData>
    <row r="1" spans="1:33" s="25" customFormat="1" x14ac:dyDescent="0.25">
      <c r="A1" s="25" t="s">
        <v>0</v>
      </c>
      <c r="B1" s="25" t="s">
        <v>205</v>
      </c>
      <c r="C1" s="25" t="s">
        <v>206</v>
      </c>
      <c r="D1" s="25" t="s">
        <v>207</v>
      </c>
      <c r="E1" s="25" t="s">
        <v>208</v>
      </c>
      <c r="F1" s="25" t="s">
        <v>209</v>
      </c>
      <c r="G1" s="25" t="s">
        <v>210</v>
      </c>
      <c r="H1" s="25" t="s">
        <v>211</v>
      </c>
      <c r="I1" s="25" t="s">
        <v>212</v>
      </c>
      <c r="J1" s="25" t="s">
        <v>213</v>
      </c>
      <c r="K1" s="25" t="s">
        <v>214</v>
      </c>
      <c r="L1" s="25" t="s">
        <v>215</v>
      </c>
      <c r="M1" s="25" t="s">
        <v>216</v>
      </c>
      <c r="N1" s="25" t="s">
        <v>217</v>
      </c>
      <c r="O1" s="25" t="s">
        <v>218</v>
      </c>
      <c r="P1" s="25" t="s">
        <v>219</v>
      </c>
      <c r="Q1" s="25" t="s">
        <v>220</v>
      </c>
      <c r="R1" s="31" t="s">
        <v>221</v>
      </c>
      <c r="S1" s="25" t="s">
        <v>222</v>
      </c>
      <c r="T1" s="25" t="s">
        <v>223</v>
      </c>
      <c r="U1" s="25" t="s">
        <v>224</v>
      </c>
      <c r="V1" s="25" t="s">
        <v>225</v>
      </c>
      <c r="W1" s="25" t="s">
        <v>226</v>
      </c>
      <c r="X1" s="25" t="s">
        <v>227</v>
      </c>
      <c r="Y1" s="25" t="s">
        <v>228</v>
      </c>
      <c r="Z1" s="31" t="s">
        <v>229</v>
      </c>
      <c r="AA1" s="25" t="s">
        <v>230</v>
      </c>
      <c r="AB1" s="25" t="s">
        <v>231</v>
      </c>
      <c r="AC1" s="25" t="s">
        <v>232</v>
      </c>
      <c r="AD1" s="25" t="s">
        <v>233</v>
      </c>
      <c r="AE1" s="25" t="s">
        <v>234</v>
      </c>
      <c r="AF1" s="25" t="s">
        <v>235</v>
      </c>
      <c r="AG1" s="25" t="s">
        <v>236</v>
      </c>
    </row>
    <row r="2" spans="1:33" x14ac:dyDescent="0.25">
      <c r="A2" t="s">
        <v>3</v>
      </c>
      <c r="B2">
        <v>5</v>
      </c>
      <c r="C2">
        <v>23</v>
      </c>
      <c r="D2">
        <v>14</v>
      </c>
      <c r="E2">
        <v>32</v>
      </c>
      <c r="F2">
        <v>27</v>
      </c>
      <c r="G2">
        <v>37</v>
      </c>
      <c r="H2">
        <v>34</v>
      </c>
      <c r="I2">
        <v>36</v>
      </c>
      <c r="J2" s="18"/>
      <c r="K2" s="7"/>
      <c r="L2" s="7"/>
      <c r="M2" s="7"/>
      <c r="N2" s="7"/>
      <c r="O2" s="7"/>
      <c r="P2" s="7"/>
      <c r="Q2" s="7"/>
      <c r="R2" s="14">
        <v>19</v>
      </c>
      <c r="S2">
        <v>36</v>
      </c>
      <c r="T2">
        <v>14</v>
      </c>
      <c r="U2">
        <v>8</v>
      </c>
      <c r="V2">
        <v>21</v>
      </c>
      <c r="W2">
        <v>24</v>
      </c>
      <c r="X2">
        <v>49</v>
      </c>
      <c r="Y2">
        <v>40</v>
      </c>
      <c r="Z2" s="14">
        <v>44</v>
      </c>
      <c r="AA2">
        <v>29</v>
      </c>
      <c r="AB2">
        <v>16</v>
      </c>
      <c r="AC2">
        <v>21</v>
      </c>
      <c r="AD2">
        <v>16</v>
      </c>
      <c r="AE2">
        <v>21</v>
      </c>
      <c r="AF2">
        <v>18</v>
      </c>
      <c r="AG2">
        <v>19</v>
      </c>
    </row>
    <row r="3" spans="1:33" x14ac:dyDescent="0.25">
      <c r="A3" t="s">
        <v>13</v>
      </c>
      <c r="B3">
        <v>48</v>
      </c>
      <c r="C3">
        <v>39</v>
      </c>
      <c r="D3">
        <v>31</v>
      </c>
      <c r="E3">
        <v>32</v>
      </c>
      <c r="F3">
        <v>38</v>
      </c>
      <c r="G3">
        <v>34</v>
      </c>
      <c r="H3">
        <v>39</v>
      </c>
      <c r="I3">
        <v>53</v>
      </c>
      <c r="J3" s="18"/>
      <c r="K3" s="7"/>
      <c r="L3" s="7"/>
      <c r="M3" s="7"/>
      <c r="N3" s="7"/>
      <c r="O3" s="7"/>
      <c r="P3" s="7"/>
      <c r="Q3" s="7"/>
      <c r="R3" s="14">
        <v>32</v>
      </c>
      <c r="S3">
        <v>39</v>
      </c>
      <c r="T3">
        <v>24</v>
      </c>
      <c r="U3">
        <v>32</v>
      </c>
      <c r="V3">
        <v>46</v>
      </c>
      <c r="W3">
        <v>28</v>
      </c>
      <c r="X3">
        <v>31</v>
      </c>
      <c r="Y3">
        <v>31</v>
      </c>
      <c r="Z3" s="14">
        <v>57</v>
      </c>
      <c r="AA3">
        <v>51</v>
      </c>
      <c r="AB3">
        <v>40</v>
      </c>
      <c r="AC3">
        <v>29</v>
      </c>
      <c r="AD3">
        <v>29</v>
      </c>
      <c r="AE3">
        <v>37</v>
      </c>
      <c r="AF3">
        <v>37</v>
      </c>
      <c r="AG3">
        <v>25</v>
      </c>
    </row>
    <row r="4" spans="1:33" x14ac:dyDescent="0.25">
      <c r="A4" t="s">
        <v>68</v>
      </c>
      <c r="B4">
        <v>15</v>
      </c>
      <c r="C4">
        <v>46</v>
      </c>
      <c r="D4">
        <v>31</v>
      </c>
      <c r="E4">
        <v>36</v>
      </c>
      <c r="F4">
        <v>21</v>
      </c>
      <c r="G4">
        <v>17</v>
      </c>
      <c r="H4">
        <v>17</v>
      </c>
      <c r="I4">
        <v>17</v>
      </c>
      <c r="J4" s="18"/>
      <c r="K4" s="7"/>
      <c r="L4" s="7"/>
      <c r="M4" s="7"/>
      <c r="N4" s="7"/>
      <c r="O4" s="7"/>
      <c r="P4" s="7"/>
      <c r="Q4" s="7"/>
      <c r="R4" s="14">
        <v>22</v>
      </c>
      <c r="S4">
        <v>18</v>
      </c>
      <c r="T4">
        <v>58</v>
      </c>
      <c r="U4">
        <v>17</v>
      </c>
      <c r="V4">
        <v>25</v>
      </c>
      <c r="W4">
        <v>15</v>
      </c>
      <c r="X4">
        <v>22</v>
      </c>
      <c r="Y4">
        <v>17</v>
      </c>
      <c r="Z4" s="14">
        <v>68</v>
      </c>
      <c r="AA4">
        <v>71</v>
      </c>
      <c r="AB4">
        <v>33</v>
      </c>
      <c r="AC4">
        <v>21</v>
      </c>
      <c r="AD4">
        <v>36</v>
      </c>
      <c r="AE4">
        <v>97</v>
      </c>
      <c r="AF4">
        <v>47</v>
      </c>
      <c r="AG4">
        <v>16</v>
      </c>
    </row>
    <row r="5" spans="1:33" x14ac:dyDescent="0.25">
      <c r="A5" t="s">
        <v>69</v>
      </c>
      <c r="B5">
        <v>24</v>
      </c>
      <c r="C5">
        <v>27</v>
      </c>
      <c r="D5">
        <v>26</v>
      </c>
      <c r="E5">
        <v>18</v>
      </c>
      <c r="F5">
        <v>37</v>
      </c>
      <c r="G5">
        <v>24</v>
      </c>
      <c r="H5">
        <v>45</v>
      </c>
      <c r="I5">
        <v>37</v>
      </c>
      <c r="J5" s="14">
        <v>81</v>
      </c>
      <c r="K5">
        <v>82</v>
      </c>
      <c r="L5">
        <v>69</v>
      </c>
      <c r="M5">
        <v>88</v>
      </c>
      <c r="N5">
        <v>90</v>
      </c>
      <c r="O5">
        <v>83</v>
      </c>
      <c r="P5">
        <v>93</v>
      </c>
      <c r="Q5">
        <v>97</v>
      </c>
      <c r="R5" s="14">
        <v>16</v>
      </c>
      <c r="S5">
        <v>7</v>
      </c>
      <c r="T5">
        <v>12</v>
      </c>
      <c r="U5">
        <v>25</v>
      </c>
      <c r="V5">
        <v>52</v>
      </c>
      <c r="W5">
        <v>30</v>
      </c>
      <c r="X5">
        <v>23</v>
      </c>
      <c r="Y5">
        <v>37</v>
      </c>
      <c r="Z5" s="14">
        <v>7</v>
      </c>
      <c r="AA5">
        <v>27</v>
      </c>
      <c r="AB5">
        <v>23</v>
      </c>
      <c r="AC5">
        <v>9</v>
      </c>
      <c r="AD5">
        <v>22</v>
      </c>
      <c r="AE5">
        <v>20</v>
      </c>
      <c r="AF5">
        <v>8</v>
      </c>
      <c r="AG5">
        <v>36</v>
      </c>
    </row>
    <row r="6" spans="1:33" x14ac:dyDescent="0.25">
      <c r="A6" t="s">
        <v>70</v>
      </c>
      <c r="B6">
        <v>35</v>
      </c>
      <c r="C6">
        <v>34</v>
      </c>
      <c r="D6">
        <v>63</v>
      </c>
      <c r="E6">
        <v>71</v>
      </c>
      <c r="F6">
        <v>18</v>
      </c>
      <c r="G6">
        <v>8</v>
      </c>
      <c r="H6">
        <v>31</v>
      </c>
      <c r="I6">
        <v>55</v>
      </c>
      <c r="J6" s="14">
        <v>94</v>
      </c>
      <c r="K6">
        <v>89</v>
      </c>
      <c r="L6">
        <v>87</v>
      </c>
      <c r="M6">
        <v>91</v>
      </c>
      <c r="N6">
        <v>95</v>
      </c>
      <c r="O6">
        <v>92</v>
      </c>
      <c r="P6">
        <v>92</v>
      </c>
      <c r="Q6">
        <v>94</v>
      </c>
      <c r="R6" s="14">
        <v>10</v>
      </c>
      <c r="S6">
        <v>51</v>
      </c>
      <c r="T6">
        <v>18</v>
      </c>
      <c r="U6">
        <v>33</v>
      </c>
      <c r="V6">
        <v>16</v>
      </c>
      <c r="W6">
        <v>20</v>
      </c>
      <c r="X6">
        <v>18</v>
      </c>
      <c r="Y6">
        <v>44</v>
      </c>
      <c r="Z6" s="14">
        <v>5</v>
      </c>
      <c r="AA6">
        <v>37</v>
      </c>
      <c r="AB6">
        <v>30</v>
      </c>
      <c r="AC6">
        <v>34</v>
      </c>
      <c r="AD6">
        <v>29</v>
      </c>
      <c r="AE6">
        <v>5</v>
      </c>
      <c r="AF6">
        <v>65</v>
      </c>
      <c r="AG6">
        <v>24</v>
      </c>
    </row>
    <row r="7" spans="1:33" x14ac:dyDescent="0.25">
      <c r="A7" t="s">
        <v>74</v>
      </c>
      <c r="B7">
        <v>33</v>
      </c>
      <c r="C7">
        <v>21</v>
      </c>
      <c r="D7">
        <v>28</v>
      </c>
      <c r="E7">
        <v>24</v>
      </c>
      <c r="F7">
        <v>44</v>
      </c>
      <c r="G7">
        <v>25</v>
      </c>
      <c r="H7">
        <v>29</v>
      </c>
      <c r="I7">
        <v>29</v>
      </c>
      <c r="J7" s="14">
        <v>87</v>
      </c>
      <c r="K7">
        <v>90</v>
      </c>
      <c r="L7">
        <v>91</v>
      </c>
      <c r="M7">
        <v>70</v>
      </c>
      <c r="N7">
        <v>78</v>
      </c>
      <c r="O7">
        <v>73</v>
      </c>
      <c r="P7">
        <v>64</v>
      </c>
      <c r="Q7">
        <v>69</v>
      </c>
      <c r="R7" s="14">
        <v>14</v>
      </c>
      <c r="S7">
        <v>4</v>
      </c>
      <c r="T7">
        <v>5</v>
      </c>
      <c r="U7">
        <v>14</v>
      </c>
      <c r="V7">
        <v>17</v>
      </c>
      <c r="W7">
        <v>24</v>
      </c>
      <c r="X7">
        <v>15</v>
      </c>
      <c r="Y7">
        <v>42</v>
      </c>
      <c r="Z7" s="14">
        <v>14</v>
      </c>
      <c r="AA7">
        <v>17</v>
      </c>
      <c r="AB7">
        <v>15</v>
      </c>
      <c r="AC7">
        <v>21</v>
      </c>
      <c r="AD7">
        <v>29</v>
      </c>
      <c r="AE7">
        <v>52</v>
      </c>
      <c r="AF7">
        <v>20</v>
      </c>
      <c r="AG7">
        <v>25</v>
      </c>
    </row>
    <row r="8" spans="1:33" x14ac:dyDescent="0.25">
      <c r="A8" t="s">
        <v>79</v>
      </c>
      <c r="B8">
        <v>10</v>
      </c>
      <c r="C8">
        <v>20</v>
      </c>
      <c r="D8">
        <v>11</v>
      </c>
      <c r="E8">
        <v>23</v>
      </c>
      <c r="F8">
        <v>6</v>
      </c>
      <c r="G8">
        <v>6</v>
      </c>
      <c r="H8">
        <v>3</v>
      </c>
      <c r="I8">
        <v>8</v>
      </c>
      <c r="J8" s="14">
        <v>79</v>
      </c>
      <c r="K8">
        <v>46</v>
      </c>
      <c r="L8">
        <v>72</v>
      </c>
      <c r="M8">
        <v>72</v>
      </c>
      <c r="N8">
        <v>71</v>
      </c>
      <c r="O8">
        <v>70</v>
      </c>
      <c r="P8">
        <v>66</v>
      </c>
      <c r="Q8">
        <v>85</v>
      </c>
      <c r="R8" s="14">
        <v>10</v>
      </c>
      <c r="S8">
        <v>20</v>
      </c>
      <c r="T8">
        <v>5</v>
      </c>
      <c r="U8">
        <v>4</v>
      </c>
      <c r="V8">
        <v>19</v>
      </c>
      <c r="W8">
        <v>5</v>
      </c>
      <c r="X8">
        <v>4</v>
      </c>
      <c r="Y8">
        <v>4</v>
      </c>
      <c r="Z8" s="14">
        <v>22</v>
      </c>
      <c r="AA8">
        <v>7</v>
      </c>
      <c r="AB8">
        <v>4</v>
      </c>
      <c r="AC8">
        <v>8</v>
      </c>
      <c r="AD8">
        <v>14</v>
      </c>
      <c r="AE8">
        <v>4</v>
      </c>
      <c r="AF8">
        <v>3</v>
      </c>
      <c r="AG8">
        <v>8</v>
      </c>
    </row>
    <row r="9" spans="1:33" x14ac:dyDescent="0.25">
      <c r="A9" t="s">
        <v>80</v>
      </c>
      <c r="B9">
        <v>1</v>
      </c>
      <c r="C9">
        <v>1</v>
      </c>
      <c r="D9">
        <v>1</v>
      </c>
      <c r="E9">
        <v>1</v>
      </c>
      <c r="F9">
        <v>0</v>
      </c>
      <c r="G9">
        <v>12</v>
      </c>
      <c r="H9">
        <v>11</v>
      </c>
      <c r="I9">
        <v>13</v>
      </c>
      <c r="J9" s="14">
        <v>41</v>
      </c>
      <c r="K9">
        <v>63</v>
      </c>
      <c r="L9">
        <v>23</v>
      </c>
      <c r="M9">
        <v>8</v>
      </c>
      <c r="N9">
        <v>1</v>
      </c>
      <c r="O9">
        <v>49</v>
      </c>
      <c r="P9">
        <v>48</v>
      </c>
      <c r="Q9">
        <v>30</v>
      </c>
      <c r="R9" s="14">
        <v>1</v>
      </c>
      <c r="S9">
        <v>0</v>
      </c>
      <c r="T9">
        <v>1</v>
      </c>
      <c r="U9" s="7"/>
      <c r="V9">
        <v>1</v>
      </c>
      <c r="W9">
        <v>9</v>
      </c>
      <c r="X9">
        <v>24</v>
      </c>
      <c r="Y9">
        <v>0</v>
      </c>
      <c r="Z9" s="14">
        <v>1</v>
      </c>
      <c r="AA9">
        <v>20</v>
      </c>
      <c r="AB9">
        <v>1</v>
      </c>
      <c r="AC9">
        <v>1</v>
      </c>
      <c r="AD9">
        <v>1</v>
      </c>
      <c r="AE9">
        <v>13</v>
      </c>
      <c r="AF9">
        <v>1</v>
      </c>
      <c r="AG9">
        <v>0</v>
      </c>
    </row>
    <row r="10" spans="1:33" x14ac:dyDescent="0.25">
      <c r="A10" t="s">
        <v>86</v>
      </c>
      <c r="B10">
        <v>57</v>
      </c>
      <c r="C10">
        <v>50</v>
      </c>
      <c r="D10">
        <v>23</v>
      </c>
      <c r="E10">
        <v>25</v>
      </c>
      <c r="F10">
        <v>31</v>
      </c>
      <c r="G10">
        <v>87</v>
      </c>
      <c r="H10">
        <v>19</v>
      </c>
      <c r="I10">
        <v>27</v>
      </c>
      <c r="J10" s="14">
        <v>86</v>
      </c>
      <c r="K10">
        <v>28</v>
      </c>
      <c r="L10">
        <v>62</v>
      </c>
      <c r="M10">
        <v>84</v>
      </c>
      <c r="N10">
        <v>70</v>
      </c>
      <c r="O10">
        <v>71</v>
      </c>
      <c r="P10">
        <v>11</v>
      </c>
      <c r="Q10">
        <v>73</v>
      </c>
      <c r="R10" s="14">
        <v>17</v>
      </c>
      <c r="S10">
        <v>12</v>
      </c>
      <c r="T10">
        <v>24</v>
      </c>
      <c r="U10">
        <v>31</v>
      </c>
      <c r="V10">
        <v>14</v>
      </c>
      <c r="W10">
        <v>24</v>
      </c>
      <c r="X10">
        <v>47</v>
      </c>
      <c r="Y10">
        <v>48</v>
      </c>
      <c r="Z10" s="14">
        <v>6</v>
      </c>
      <c r="AA10">
        <v>14</v>
      </c>
      <c r="AB10">
        <v>11</v>
      </c>
      <c r="AC10">
        <v>15</v>
      </c>
      <c r="AD10">
        <v>43</v>
      </c>
      <c r="AE10">
        <v>12</v>
      </c>
      <c r="AF10">
        <v>14</v>
      </c>
      <c r="AG10">
        <v>7</v>
      </c>
    </row>
    <row r="11" spans="1:33" x14ac:dyDescent="0.25">
      <c r="A11" t="s">
        <v>92</v>
      </c>
      <c r="B11">
        <v>23</v>
      </c>
      <c r="C11">
        <v>56</v>
      </c>
      <c r="D11">
        <v>44</v>
      </c>
      <c r="E11">
        <v>16</v>
      </c>
      <c r="F11">
        <v>41</v>
      </c>
      <c r="G11">
        <v>33</v>
      </c>
      <c r="H11">
        <v>61</v>
      </c>
      <c r="I11">
        <v>62</v>
      </c>
      <c r="J11" s="14">
        <v>64</v>
      </c>
      <c r="K11">
        <v>74</v>
      </c>
      <c r="L11">
        <v>48</v>
      </c>
      <c r="M11">
        <v>36</v>
      </c>
      <c r="N11">
        <v>57</v>
      </c>
      <c r="O11">
        <v>62</v>
      </c>
      <c r="P11">
        <v>65</v>
      </c>
      <c r="Q11">
        <v>48</v>
      </c>
      <c r="R11" s="14">
        <v>71</v>
      </c>
      <c r="S11">
        <v>10</v>
      </c>
      <c r="T11">
        <v>17</v>
      </c>
      <c r="U11">
        <v>44</v>
      </c>
      <c r="V11">
        <v>40</v>
      </c>
      <c r="W11">
        <v>33</v>
      </c>
      <c r="X11">
        <v>45</v>
      </c>
      <c r="Y11">
        <v>66</v>
      </c>
      <c r="Z11" s="14">
        <v>8</v>
      </c>
      <c r="AA11">
        <v>7</v>
      </c>
      <c r="AB11">
        <v>19</v>
      </c>
      <c r="AC11">
        <v>16</v>
      </c>
      <c r="AD11">
        <v>52</v>
      </c>
      <c r="AE11">
        <v>67</v>
      </c>
      <c r="AF11">
        <v>27</v>
      </c>
      <c r="AG11">
        <v>66</v>
      </c>
    </row>
    <row r="12" spans="1:33" x14ac:dyDescent="0.25">
      <c r="A12" t="s">
        <v>93</v>
      </c>
      <c r="B12">
        <v>1</v>
      </c>
      <c r="C12">
        <v>15</v>
      </c>
      <c r="D12">
        <v>3</v>
      </c>
      <c r="E12">
        <v>13</v>
      </c>
      <c r="F12">
        <v>2</v>
      </c>
      <c r="G12">
        <v>9</v>
      </c>
      <c r="H12">
        <v>12</v>
      </c>
      <c r="I12">
        <v>10</v>
      </c>
      <c r="J12" s="14">
        <v>44</v>
      </c>
      <c r="K12">
        <v>65</v>
      </c>
      <c r="L12">
        <v>54</v>
      </c>
      <c r="M12">
        <v>65</v>
      </c>
      <c r="N12">
        <v>74</v>
      </c>
      <c r="O12">
        <v>67</v>
      </c>
      <c r="P12">
        <v>66</v>
      </c>
      <c r="Q12">
        <v>75</v>
      </c>
      <c r="R12" s="14">
        <v>4</v>
      </c>
      <c r="S12">
        <v>2</v>
      </c>
      <c r="T12">
        <v>2</v>
      </c>
      <c r="U12">
        <v>6</v>
      </c>
      <c r="V12">
        <v>21</v>
      </c>
      <c r="W12">
        <v>23</v>
      </c>
      <c r="X12">
        <v>29</v>
      </c>
      <c r="Y12">
        <v>15</v>
      </c>
      <c r="Z12" s="14">
        <v>5</v>
      </c>
      <c r="AA12">
        <v>1</v>
      </c>
      <c r="AB12">
        <v>15</v>
      </c>
      <c r="AC12">
        <v>5</v>
      </c>
      <c r="AD12">
        <v>29</v>
      </c>
      <c r="AE12">
        <v>24</v>
      </c>
      <c r="AF12">
        <v>16</v>
      </c>
      <c r="AG12">
        <v>29</v>
      </c>
    </row>
    <row r="13" spans="1:33" x14ac:dyDescent="0.25">
      <c r="A13" t="s">
        <v>110</v>
      </c>
      <c r="B13">
        <v>42</v>
      </c>
      <c r="C13">
        <v>29</v>
      </c>
      <c r="D13">
        <v>66</v>
      </c>
      <c r="E13">
        <v>23</v>
      </c>
      <c r="F13">
        <v>25</v>
      </c>
      <c r="G13">
        <v>23</v>
      </c>
      <c r="H13">
        <v>22</v>
      </c>
      <c r="I13">
        <v>20</v>
      </c>
      <c r="J13" s="14">
        <v>66</v>
      </c>
      <c r="K13">
        <v>84</v>
      </c>
      <c r="L13">
        <v>86</v>
      </c>
      <c r="M13">
        <v>90</v>
      </c>
      <c r="N13">
        <v>94</v>
      </c>
      <c r="O13">
        <v>84</v>
      </c>
      <c r="P13">
        <v>85</v>
      </c>
      <c r="Q13">
        <v>74</v>
      </c>
      <c r="R13" s="14">
        <v>19</v>
      </c>
      <c r="S13">
        <v>33</v>
      </c>
      <c r="T13">
        <v>15</v>
      </c>
      <c r="U13">
        <v>24</v>
      </c>
      <c r="V13">
        <v>19</v>
      </c>
      <c r="W13">
        <v>19</v>
      </c>
      <c r="X13">
        <v>22</v>
      </c>
      <c r="Y13">
        <v>18</v>
      </c>
      <c r="Z13" s="14">
        <v>6</v>
      </c>
      <c r="AA13">
        <v>13</v>
      </c>
      <c r="AB13">
        <v>29</v>
      </c>
      <c r="AC13">
        <v>7</v>
      </c>
      <c r="AD13">
        <v>16</v>
      </c>
      <c r="AE13">
        <v>10</v>
      </c>
      <c r="AF13">
        <v>55</v>
      </c>
      <c r="AG13">
        <v>16</v>
      </c>
    </row>
    <row r="14" spans="1:33" x14ac:dyDescent="0.25">
      <c r="A14" t="s">
        <v>120</v>
      </c>
      <c r="B14">
        <v>9</v>
      </c>
      <c r="C14">
        <v>22</v>
      </c>
      <c r="D14">
        <v>17</v>
      </c>
      <c r="E14">
        <v>9</v>
      </c>
      <c r="F14">
        <v>20</v>
      </c>
      <c r="G14">
        <v>10</v>
      </c>
      <c r="H14">
        <v>7</v>
      </c>
      <c r="I14">
        <v>9</v>
      </c>
      <c r="J14" s="14">
        <v>69</v>
      </c>
      <c r="K14">
        <v>77</v>
      </c>
      <c r="L14">
        <v>77</v>
      </c>
      <c r="M14">
        <v>74</v>
      </c>
      <c r="N14">
        <v>65</v>
      </c>
      <c r="O14">
        <v>74</v>
      </c>
      <c r="P14">
        <v>67</v>
      </c>
      <c r="Q14">
        <v>74</v>
      </c>
      <c r="R14" s="14">
        <v>13</v>
      </c>
      <c r="S14">
        <v>18</v>
      </c>
      <c r="T14">
        <v>25</v>
      </c>
      <c r="U14">
        <v>3</v>
      </c>
      <c r="V14">
        <v>24</v>
      </c>
      <c r="W14">
        <v>15</v>
      </c>
      <c r="X14">
        <v>17</v>
      </c>
      <c r="Y14">
        <v>19</v>
      </c>
      <c r="Z14" s="14">
        <v>18</v>
      </c>
      <c r="AA14">
        <v>23</v>
      </c>
      <c r="AB14">
        <v>7</v>
      </c>
      <c r="AC14">
        <v>19</v>
      </c>
      <c r="AD14">
        <v>24</v>
      </c>
      <c r="AE14">
        <v>7</v>
      </c>
      <c r="AF14">
        <v>11</v>
      </c>
      <c r="AG14">
        <v>7</v>
      </c>
    </row>
    <row r="15" spans="1:33" x14ac:dyDescent="0.25">
      <c r="A15" t="s">
        <v>125</v>
      </c>
      <c r="B15">
        <v>79</v>
      </c>
      <c r="C15">
        <v>76</v>
      </c>
      <c r="D15">
        <v>63</v>
      </c>
      <c r="E15">
        <v>73</v>
      </c>
      <c r="F15">
        <v>62</v>
      </c>
      <c r="G15">
        <v>75</v>
      </c>
      <c r="H15">
        <v>77</v>
      </c>
      <c r="I15">
        <v>45</v>
      </c>
      <c r="J15" s="14">
        <v>76</v>
      </c>
      <c r="K15">
        <v>81</v>
      </c>
      <c r="L15">
        <v>70</v>
      </c>
      <c r="M15">
        <v>76</v>
      </c>
      <c r="N15">
        <v>83</v>
      </c>
      <c r="O15">
        <v>84</v>
      </c>
      <c r="P15">
        <v>83</v>
      </c>
      <c r="Q15">
        <v>76</v>
      </c>
      <c r="R15" s="14">
        <v>13</v>
      </c>
      <c r="S15">
        <v>51</v>
      </c>
      <c r="T15">
        <v>23</v>
      </c>
      <c r="U15">
        <v>75</v>
      </c>
      <c r="V15">
        <v>84</v>
      </c>
      <c r="W15">
        <v>67</v>
      </c>
      <c r="X15">
        <v>40</v>
      </c>
      <c r="Y15">
        <v>29</v>
      </c>
      <c r="Z15" s="14">
        <v>8</v>
      </c>
      <c r="AA15">
        <v>27</v>
      </c>
      <c r="AB15">
        <v>19</v>
      </c>
      <c r="AC15">
        <v>13</v>
      </c>
      <c r="AD15">
        <v>59</v>
      </c>
      <c r="AE15">
        <v>38</v>
      </c>
      <c r="AF15">
        <v>31</v>
      </c>
      <c r="AG15">
        <v>28</v>
      </c>
    </row>
    <row r="16" spans="1:33" x14ac:dyDescent="0.25">
      <c r="A16" t="s">
        <v>130</v>
      </c>
      <c r="B16">
        <v>39</v>
      </c>
      <c r="C16">
        <v>45</v>
      </c>
      <c r="D16">
        <v>36</v>
      </c>
      <c r="E16">
        <v>41</v>
      </c>
      <c r="F16">
        <v>55</v>
      </c>
      <c r="G16">
        <v>32</v>
      </c>
      <c r="H16">
        <v>36</v>
      </c>
      <c r="I16">
        <v>43</v>
      </c>
      <c r="J16" s="14">
        <v>68</v>
      </c>
      <c r="K16">
        <v>89</v>
      </c>
      <c r="L16">
        <v>47</v>
      </c>
      <c r="M16">
        <v>71</v>
      </c>
      <c r="N16">
        <v>75</v>
      </c>
      <c r="O16">
        <v>78</v>
      </c>
      <c r="P16">
        <v>77</v>
      </c>
      <c r="Q16">
        <v>82</v>
      </c>
      <c r="R16" s="14">
        <v>43</v>
      </c>
      <c r="S16">
        <v>44</v>
      </c>
      <c r="T16">
        <v>47</v>
      </c>
      <c r="U16">
        <v>36</v>
      </c>
      <c r="V16">
        <v>18</v>
      </c>
      <c r="W16">
        <v>34</v>
      </c>
      <c r="X16">
        <v>43</v>
      </c>
      <c r="Y16">
        <v>36</v>
      </c>
      <c r="Z16" s="14">
        <v>60</v>
      </c>
      <c r="AA16">
        <v>35</v>
      </c>
      <c r="AB16">
        <v>46</v>
      </c>
      <c r="AC16">
        <v>41</v>
      </c>
      <c r="AD16">
        <v>36</v>
      </c>
      <c r="AE16">
        <v>22</v>
      </c>
      <c r="AF16">
        <v>42</v>
      </c>
      <c r="AG16">
        <v>44</v>
      </c>
    </row>
    <row r="17" spans="1:33" x14ac:dyDescent="0.25">
      <c r="A17" t="s">
        <v>145</v>
      </c>
      <c r="B17">
        <v>56</v>
      </c>
      <c r="C17">
        <v>52</v>
      </c>
      <c r="D17" s="7"/>
      <c r="E17">
        <v>35</v>
      </c>
      <c r="F17">
        <v>29</v>
      </c>
      <c r="G17">
        <v>30</v>
      </c>
      <c r="H17">
        <v>49</v>
      </c>
      <c r="I17" s="4">
        <v>59</v>
      </c>
      <c r="J17" s="14">
        <v>89</v>
      </c>
      <c r="K17">
        <v>62</v>
      </c>
      <c r="L17" s="7"/>
      <c r="M17">
        <v>66</v>
      </c>
      <c r="N17">
        <v>56</v>
      </c>
      <c r="O17">
        <v>75</v>
      </c>
      <c r="P17">
        <v>68</v>
      </c>
      <c r="Q17" s="7"/>
      <c r="R17" s="14">
        <v>18</v>
      </c>
      <c r="S17">
        <v>43</v>
      </c>
      <c r="T17">
        <v>37</v>
      </c>
      <c r="U17">
        <v>55</v>
      </c>
      <c r="V17">
        <v>50</v>
      </c>
      <c r="W17">
        <v>73</v>
      </c>
      <c r="X17">
        <v>49</v>
      </c>
      <c r="Y17" s="7"/>
      <c r="Z17" s="14">
        <v>40</v>
      </c>
      <c r="AA17">
        <v>39</v>
      </c>
      <c r="AB17">
        <v>42</v>
      </c>
      <c r="AC17">
        <v>53</v>
      </c>
      <c r="AD17">
        <v>28</v>
      </c>
      <c r="AE17">
        <v>59</v>
      </c>
      <c r="AF17">
        <v>55</v>
      </c>
      <c r="AG17" s="7"/>
    </row>
    <row r="18" spans="1:33" x14ac:dyDescent="0.25">
      <c r="A18" t="s">
        <v>144</v>
      </c>
      <c r="B18">
        <v>34</v>
      </c>
      <c r="C18">
        <v>20</v>
      </c>
      <c r="D18">
        <v>30</v>
      </c>
      <c r="E18">
        <v>34</v>
      </c>
      <c r="F18">
        <v>43</v>
      </c>
      <c r="G18">
        <v>29</v>
      </c>
      <c r="H18">
        <v>20</v>
      </c>
      <c r="I18" s="4">
        <v>22</v>
      </c>
      <c r="J18" s="14">
        <v>40</v>
      </c>
      <c r="K18">
        <v>53</v>
      </c>
      <c r="L18">
        <v>50</v>
      </c>
      <c r="M18">
        <v>57</v>
      </c>
      <c r="N18">
        <v>35</v>
      </c>
      <c r="O18">
        <v>27</v>
      </c>
      <c r="P18">
        <v>35</v>
      </c>
      <c r="Q18">
        <v>35</v>
      </c>
      <c r="R18" s="14">
        <v>41</v>
      </c>
      <c r="S18">
        <v>37</v>
      </c>
      <c r="T18">
        <v>37</v>
      </c>
      <c r="U18">
        <v>38</v>
      </c>
      <c r="V18">
        <v>28</v>
      </c>
      <c r="W18">
        <v>45</v>
      </c>
      <c r="X18">
        <v>27</v>
      </c>
      <c r="Y18">
        <v>31</v>
      </c>
      <c r="Z18" s="14">
        <v>53</v>
      </c>
      <c r="AA18">
        <v>47</v>
      </c>
      <c r="AB18">
        <v>28</v>
      </c>
      <c r="AC18">
        <v>27</v>
      </c>
      <c r="AD18">
        <v>22</v>
      </c>
      <c r="AE18">
        <v>25</v>
      </c>
      <c r="AF18">
        <v>27</v>
      </c>
      <c r="AG18">
        <v>24</v>
      </c>
    </row>
    <row r="19" spans="1:33" x14ac:dyDescent="0.25">
      <c r="A19" t="s">
        <v>132</v>
      </c>
      <c r="B19">
        <v>29</v>
      </c>
      <c r="C19">
        <v>35</v>
      </c>
      <c r="D19">
        <v>44</v>
      </c>
      <c r="E19">
        <v>64</v>
      </c>
      <c r="F19">
        <v>22</v>
      </c>
      <c r="G19">
        <v>33</v>
      </c>
      <c r="H19">
        <v>52</v>
      </c>
      <c r="I19">
        <v>52</v>
      </c>
      <c r="J19" s="14">
        <v>65</v>
      </c>
      <c r="K19">
        <v>65</v>
      </c>
      <c r="L19">
        <v>71</v>
      </c>
      <c r="M19">
        <v>76</v>
      </c>
      <c r="N19">
        <v>81</v>
      </c>
      <c r="O19">
        <v>84</v>
      </c>
      <c r="P19">
        <v>70</v>
      </c>
      <c r="Q19">
        <v>78</v>
      </c>
      <c r="R19" s="14">
        <v>47</v>
      </c>
      <c r="S19">
        <v>33</v>
      </c>
      <c r="T19">
        <v>70</v>
      </c>
      <c r="U19">
        <v>27</v>
      </c>
      <c r="V19">
        <v>64</v>
      </c>
      <c r="W19">
        <v>41</v>
      </c>
      <c r="X19">
        <v>43</v>
      </c>
      <c r="Y19">
        <v>50</v>
      </c>
      <c r="Z19" s="14">
        <v>46</v>
      </c>
      <c r="AA19">
        <v>61</v>
      </c>
      <c r="AB19">
        <v>75</v>
      </c>
      <c r="AC19">
        <v>31</v>
      </c>
      <c r="AD19">
        <v>42</v>
      </c>
      <c r="AE19">
        <v>47</v>
      </c>
      <c r="AF19">
        <v>52</v>
      </c>
      <c r="AG19">
        <v>45</v>
      </c>
    </row>
    <row r="20" spans="1:33" x14ac:dyDescent="0.25">
      <c r="A20" t="s">
        <v>146</v>
      </c>
      <c r="B20">
        <v>91</v>
      </c>
      <c r="C20">
        <v>37</v>
      </c>
      <c r="D20">
        <v>69</v>
      </c>
      <c r="E20">
        <v>90</v>
      </c>
      <c r="F20">
        <v>88</v>
      </c>
      <c r="G20">
        <v>39</v>
      </c>
      <c r="H20">
        <v>34</v>
      </c>
      <c r="I20">
        <v>46</v>
      </c>
      <c r="J20" s="14">
        <v>99</v>
      </c>
      <c r="K20">
        <v>83</v>
      </c>
      <c r="L20">
        <v>78</v>
      </c>
      <c r="M20">
        <v>93</v>
      </c>
      <c r="N20">
        <v>95</v>
      </c>
      <c r="O20">
        <v>95</v>
      </c>
      <c r="P20">
        <v>80</v>
      </c>
      <c r="Q20">
        <v>78</v>
      </c>
      <c r="R20" s="14">
        <v>60</v>
      </c>
      <c r="S20">
        <v>38</v>
      </c>
      <c r="T20">
        <v>28</v>
      </c>
      <c r="U20">
        <v>39</v>
      </c>
      <c r="V20">
        <v>51</v>
      </c>
      <c r="W20">
        <v>21</v>
      </c>
      <c r="X20" s="7"/>
      <c r="Y20">
        <v>29</v>
      </c>
      <c r="Z20" s="14">
        <v>40</v>
      </c>
      <c r="AA20">
        <v>31</v>
      </c>
      <c r="AB20" s="5"/>
      <c r="AC20">
        <v>27</v>
      </c>
      <c r="AD20">
        <v>49</v>
      </c>
      <c r="AE20">
        <v>47</v>
      </c>
      <c r="AF20" s="7"/>
      <c r="AG20">
        <v>37</v>
      </c>
    </row>
    <row r="21" spans="1:33" x14ac:dyDescent="0.25">
      <c r="A21" t="s">
        <v>147</v>
      </c>
      <c r="B21">
        <v>25</v>
      </c>
      <c r="C21">
        <v>12</v>
      </c>
      <c r="D21">
        <v>44</v>
      </c>
      <c r="E21">
        <v>41</v>
      </c>
      <c r="F21">
        <v>8</v>
      </c>
      <c r="G21">
        <v>50</v>
      </c>
      <c r="H21">
        <v>33</v>
      </c>
      <c r="I21">
        <v>33</v>
      </c>
      <c r="J21" s="14">
        <v>79</v>
      </c>
      <c r="K21">
        <v>93</v>
      </c>
      <c r="L21" s="5"/>
      <c r="M21">
        <v>93</v>
      </c>
      <c r="N21">
        <v>95</v>
      </c>
      <c r="O21">
        <v>82</v>
      </c>
      <c r="P21">
        <v>84</v>
      </c>
      <c r="Q21">
        <v>84</v>
      </c>
      <c r="R21" s="14">
        <v>58</v>
      </c>
      <c r="S21">
        <v>18</v>
      </c>
      <c r="T21" s="5"/>
      <c r="U21">
        <v>45</v>
      </c>
      <c r="V21">
        <v>29</v>
      </c>
      <c r="W21">
        <v>9</v>
      </c>
      <c r="X21">
        <v>8</v>
      </c>
      <c r="Y21">
        <v>28</v>
      </c>
      <c r="Z21" s="14">
        <v>31</v>
      </c>
      <c r="AA21">
        <v>41</v>
      </c>
      <c r="AB21">
        <v>15</v>
      </c>
      <c r="AC21">
        <v>18</v>
      </c>
      <c r="AD21">
        <v>48</v>
      </c>
      <c r="AE21">
        <v>33</v>
      </c>
      <c r="AF21" s="7"/>
      <c r="AG21">
        <v>18</v>
      </c>
    </row>
    <row r="22" spans="1:33" x14ac:dyDescent="0.25">
      <c r="A22" t="s">
        <v>155</v>
      </c>
      <c r="B22">
        <v>9</v>
      </c>
      <c r="C22">
        <v>70</v>
      </c>
      <c r="D22">
        <v>1</v>
      </c>
      <c r="E22">
        <v>2</v>
      </c>
      <c r="F22">
        <v>1</v>
      </c>
      <c r="G22">
        <v>5</v>
      </c>
      <c r="H22">
        <v>1</v>
      </c>
      <c r="I22">
        <v>1</v>
      </c>
      <c r="J22" s="14">
        <v>29</v>
      </c>
      <c r="K22">
        <v>6</v>
      </c>
      <c r="L22">
        <v>17</v>
      </c>
      <c r="M22">
        <v>9</v>
      </c>
      <c r="N22">
        <v>18</v>
      </c>
      <c r="O22">
        <v>71</v>
      </c>
      <c r="P22">
        <v>16</v>
      </c>
      <c r="Q22">
        <v>30</v>
      </c>
      <c r="R22" s="14">
        <v>5</v>
      </c>
      <c r="S22">
        <v>9</v>
      </c>
      <c r="T22">
        <v>1</v>
      </c>
      <c r="U22">
        <v>0</v>
      </c>
      <c r="V22">
        <v>36</v>
      </c>
      <c r="W22">
        <v>1</v>
      </c>
      <c r="X22">
        <v>2</v>
      </c>
      <c r="Y22">
        <v>37</v>
      </c>
      <c r="Z22" s="14">
        <v>37</v>
      </c>
      <c r="AA22">
        <v>20</v>
      </c>
      <c r="AB22">
        <v>1</v>
      </c>
      <c r="AC22">
        <v>0</v>
      </c>
      <c r="AD22">
        <v>42</v>
      </c>
      <c r="AE22">
        <v>15</v>
      </c>
      <c r="AF22">
        <v>2</v>
      </c>
      <c r="AG22">
        <v>43</v>
      </c>
    </row>
    <row r="23" spans="1:33" x14ac:dyDescent="0.25">
      <c r="A23" t="s">
        <v>158</v>
      </c>
      <c r="B23">
        <v>32</v>
      </c>
      <c r="C23">
        <v>21</v>
      </c>
      <c r="D23">
        <v>26</v>
      </c>
      <c r="E23">
        <v>37</v>
      </c>
      <c r="F23">
        <v>24</v>
      </c>
      <c r="G23">
        <v>73</v>
      </c>
      <c r="H23">
        <v>26</v>
      </c>
      <c r="I23">
        <v>78</v>
      </c>
      <c r="J23" s="14">
        <v>25</v>
      </c>
      <c r="K23">
        <v>17</v>
      </c>
      <c r="L23" s="7"/>
      <c r="M23">
        <v>11</v>
      </c>
      <c r="N23">
        <v>93</v>
      </c>
      <c r="O23">
        <v>90</v>
      </c>
      <c r="P23">
        <v>72</v>
      </c>
      <c r="Q23">
        <v>88</v>
      </c>
      <c r="R23" s="14">
        <v>5</v>
      </c>
      <c r="S23">
        <v>23</v>
      </c>
      <c r="T23">
        <v>51</v>
      </c>
      <c r="U23">
        <v>60</v>
      </c>
      <c r="V23" s="7"/>
      <c r="W23">
        <v>37</v>
      </c>
      <c r="X23">
        <v>66</v>
      </c>
      <c r="Y23">
        <v>33</v>
      </c>
      <c r="Z23" s="18"/>
      <c r="AA23">
        <v>30</v>
      </c>
      <c r="AB23">
        <v>30</v>
      </c>
      <c r="AC23" s="7"/>
      <c r="AD23" s="7"/>
      <c r="AE23" s="7"/>
      <c r="AF23">
        <v>20</v>
      </c>
      <c r="AG23">
        <v>34</v>
      </c>
    </row>
    <row r="24" spans="1:33" x14ac:dyDescent="0.25">
      <c r="A24" t="s">
        <v>162</v>
      </c>
      <c r="B24">
        <v>76</v>
      </c>
      <c r="C24">
        <v>64</v>
      </c>
      <c r="D24">
        <v>80</v>
      </c>
      <c r="E24">
        <v>69</v>
      </c>
      <c r="F24">
        <v>88</v>
      </c>
      <c r="G24">
        <v>87</v>
      </c>
      <c r="H24">
        <v>85</v>
      </c>
      <c r="I24">
        <v>82</v>
      </c>
      <c r="J24" s="14">
        <v>83</v>
      </c>
      <c r="K24">
        <v>86</v>
      </c>
      <c r="L24">
        <v>92</v>
      </c>
      <c r="M24">
        <v>92</v>
      </c>
      <c r="N24">
        <v>97</v>
      </c>
      <c r="O24">
        <v>90</v>
      </c>
      <c r="P24">
        <v>83</v>
      </c>
      <c r="Q24">
        <v>95</v>
      </c>
      <c r="R24" s="14">
        <v>62</v>
      </c>
      <c r="S24">
        <v>84</v>
      </c>
      <c r="T24">
        <v>42</v>
      </c>
      <c r="U24">
        <v>63</v>
      </c>
      <c r="V24">
        <v>90</v>
      </c>
      <c r="W24">
        <v>86</v>
      </c>
      <c r="X24">
        <v>34</v>
      </c>
      <c r="Y24">
        <v>69</v>
      </c>
      <c r="Z24" s="14">
        <v>37</v>
      </c>
      <c r="AA24">
        <v>76</v>
      </c>
      <c r="AB24">
        <v>52</v>
      </c>
      <c r="AC24">
        <v>72</v>
      </c>
      <c r="AD24">
        <v>91</v>
      </c>
      <c r="AE24">
        <v>85</v>
      </c>
      <c r="AF24">
        <v>75</v>
      </c>
      <c r="AG24">
        <v>23</v>
      </c>
    </row>
    <row r="25" spans="1:33" x14ac:dyDescent="0.25">
      <c r="A25" t="s">
        <v>160</v>
      </c>
      <c r="B25">
        <v>71</v>
      </c>
      <c r="C25">
        <v>49</v>
      </c>
      <c r="D25">
        <v>68</v>
      </c>
      <c r="E25">
        <v>87</v>
      </c>
      <c r="F25">
        <v>64</v>
      </c>
      <c r="G25">
        <v>75</v>
      </c>
      <c r="H25">
        <v>88</v>
      </c>
      <c r="I25">
        <v>81</v>
      </c>
      <c r="J25" s="14">
        <v>16</v>
      </c>
      <c r="K25">
        <v>66</v>
      </c>
      <c r="L25">
        <v>48</v>
      </c>
      <c r="M25">
        <v>79</v>
      </c>
      <c r="N25">
        <v>79</v>
      </c>
      <c r="O25">
        <v>83</v>
      </c>
      <c r="P25">
        <v>93</v>
      </c>
      <c r="Q25">
        <v>87</v>
      </c>
      <c r="R25" s="14">
        <v>13</v>
      </c>
      <c r="S25">
        <v>29</v>
      </c>
      <c r="T25">
        <v>88</v>
      </c>
      <c r="U25">
        <v>48</v>
      </c>
      <c r="V25">
        <v>47</v>
      </c>
      <c r="W25">
        <v>55</v>
      </c>
      <c r="X25">
        <v>46</v>
      </c>
      <c r="Y25">
        <v>52</v>
      </c>
      <c r="Z25" s="14">
        <v>36</v>
      </c>
      <c r="AA25">
        <v>59</v>
      </c>
      <c r="AB25">
        <v>66</v>
      </c>
      <c r="AC25">
        <v>42</v>
      </c>
      <c r="AD25">
        <v>35</v>
      </c>
      <c r="AE25">
        <v>80</v>
      </c>
      <c r="AF25">
        <v>58</v>
      </c>
      <c r="AG25">
        <v>37</v>
      </c>
    </row>
    <row r="26" spans="1:33" x14ac:dyDescent="0.25">
      <c r="A26" t="s">
        <v>173</v>
      </c>
      <c r="B26">
        <v>23</v>
      </c>
      <c r="C26">
        <v>12</v>
      </c>
      <c r="D26">
        <v>48</v>
      </c>
      <c r="E26">
        <v>17</v>
      </c>
      <c r="F26">
        <v>19</v>
      </c>
      <c r="G26">
        <v>15</v>
      </c>
      <c r="H26">
        <v>10</v>
      </c>
      <c r="I26">
        <v>20</v>
      </c>
      <c r="J26" s="14">
        <v>66</v>
      </c>
      <c r="K26">
        <v>54</v>
      </c>
      <c r="L26">
        <v>20</v>
      </c>
      <c r="M26">
        <v>70</v>
      </c>
      <c r="N26">
        <v>48</v>
      </c>
      <c r="O26">
        <v>74</v>
      </c>
      <c r="P26">
        <v>62</v>
      </c>
      <c r="Q26">
        <v>48</v>
      </c>
      <c r="R26" s="14">
        <v>15</v>
      </c>
      <c r="S26">
        <v>22</v>
      </c>
      <c r="T26">
        <v>19</v>
      </c>
      <c r="U26">
        <v>7</v>
      </c>
      <c r="V26">
        <v>19</v>
      </c>
      <c r="W26">
        <v>15</v>
      </c>
      <c r="X26">
        <v>25</v>
      </c>
      <c r="Y26">
        <v>32</v>
      </c>
      <c r="Z26" s="14">
        <v>22</v>
      </c>
      <c r="AA26">
        <v>35</v>
      </c>
      <c r="AB26">
        <v>21</v>
      </c>
      <c r="AC26">
        <v>20</v>
      </c>
      <c r="AD26">
        <v>26</v>
      </c>
      <c r="AE26">
        <v>18</v>
      </c>
      <c r="AF26">
        <v>21</v>
      </c>
      <c r="AG26">
        <v>9</v>
      </c>
    </row>
    <row r="27" spans="1:33" x14ac:dyDescent="0.25">
      <c r="A27" t="s">
        <v>174</v>
      </c>
      <c r="B27">
        <v>7</v>
      </c>
      <c r="C27">
        <v>12</v>
      </c>
      <c r="D27">
        <v>14</v>
      </c>
      <c r="E27">
        <v>20</v>
      </c>
      <c r="F27">
        <v>18</v>
      </c>
      <c r="G27">
        <v>15</v>
      </c>
      <c r="H27">
        <v>32</v>
      </c>
      <c r="I27">
        <v>22</v>
      </c>
      <c r="J27" s="14">
        <v>73</v>
      </c>
      <c r="K27">
        <v>72</v>
      </c>
      <c r="L27">
        <v>80</v>
      </c>
      <c r="M27">
        <v>71</v>
      </c>
      <c r="N27">
        <v>83</v>
      </c>
      <c r="O27">
        <v>70</v>
      </c>
      <c r="P27">
        <v>79</v>
      </c>
      <c r="Q27">
        <v>79</v>
      </c>
      <c r="R27" s="14">
        <v>28</v>
      </c>
      <c r="S27">
        <v>12</v>
      </c>
      <c r="T27">
        <v>15</v>
      </c>
      <c r="U27">
        <v>17</v>
      </c>
      <c r="V27">
        <v>9</v>
      </c>
      <c r="W27">
        <v>14</v>
      </c>
      <c r="X27">
        <v>26</v>
      </c>
      <c r="Y27">
        <v>23</v>
      </c>
      <c r="Z27" s="14">
        <v>23</v>
      </c>
      <c r="AA27">
        <v>18</v>
      </c>
      <c r="AB27">
        <v>15</v>
      </c>
      <c r="AC27">
        <v>4</v>
      </c>
      <c r="AD27">
        <v>32</v>
      </c>
      <c r="AE27">
        <v>17</v>
      </c>
      <c r="AF27">
        <v>10</v>
      </c>
      <c r="AG27">
        <v>20</v>
      </c>
    </row>
    <row r="28" spans="1:33" x14ac:dyDescent="0.25">
      <c r="A28" t="s">
        <v>175</v>
      </c>
      <c r="B28">
        <v>32</v>
      </c>
      <c r="C28">
        <v>33</v>
      </c>
      <c r="D28">
        <v>32</v>
      </c>
      <c r="E28">
        <v>33</v>
      </c>
      <c r="F28">
        <v>30</v>
      </c>
      <c r="G28">
        <v>32</v>
      </c>
      <c r="H28">
        <v>24</v>
      </c>
      <c r="I28">
        <v>25</v>
      </c>
      <c r="J28" s="14">
        <v>56</v>
      </c>
      <c r="K28">
        <v>65</v>
      </c>
      <c r="L28">
        <v>64</v>
      </c>
      <c r="M28">
        <v>65</v>
      </c>
      <c r="N28">
        <v>63</v>
      </c>
      <c r="O28">
        <v>64</v>
      </c>
      <c r="P28">
        <v>66</v>
      </c>
      <c r="Q28">
        <v>65</v>
      </c>
      <c r="R28" s="14">
        <v>40</v>
      </c>
      <c r="S28">
        <v>36</v>
      </c>
      <c r="T28">
        <v>51</v>
      </c>
      <c r="U28">
        <v>44</v>
      </c>
      <c r="V28">
        <v>44</v>
      </c>
      <c r="W28">
        <v>40</v>
      </c>
      <c r="X28">
        <v>48</v>
      </c>
      <c r="Y28">
        <v>25</v>
      </c>
      <c r="Z28" s="14">
        <v>24</v>
      </c>
      <c r="AA28">
        <v>26</v>
      </c>
      <c r="AB28">
        <v>32</v>
      </c>
      <c r="AC28">
        <v>50</v>
      </c>
      <c r="AD28">
        <v>46</v>
      </c>
      <c r="AE28">
        <v>39</v>
      </c>
      <c r="AF28">
        <v>32</v>
      </c>
      <c r="AG28">
        <v>23</v>
      </c>
    </row>
    <row r="29" spans="1:33" x14ac:dyDescent="0.25">
      <c r="A29" t="s">
        <v>187</v>
      </c>
      <c r="B29">
        <v>44</v>
      </c>
      <c r="C29">
        <v>42</v>
      </c>
      <c r="D29">
        <v>40</v>
      </c>
      <c r="E29">
        <v>42</v>
      </c>
      <c r="F29">
        <v>55</v>
      </c>
      <c r="G29">
        <v>53</v>
      </c>
      <c r="H29">
        <v>39</v>
      </c>
      <c r="I29">
        <v>36</v>
      </c>
      <c r="J29" s="14">
        <v>39</v>
      </c>
      <c r="K29">
        <v>43</v>
      </c>
      <c r="L29">
        <v>40</v>
      </c>
      <c r="M29">
        <v>49</v>
      </c>
      <c r="N29">
        <v>33</v>
      </c>
      <c r="O29">
        <v>38</v>
      </c>
      <c r="P29">
        <v>54</v>
      </c>
      <c r="Q29">
        <v>48</v>
      </c>
      <c r="R29" s="14">
        <v>51</v>
      </c>
      <c r="S29">
        <v>36</v>
      </c>
      <c r="T29">
        <v>48</v>
      </c>
      <c r="U29">
        <v>50</v>
      </c>
      <c r="V29">
        <v>45</v>
      </c>
      <c r="W29">
        <v>38</v>
      </c>
      <c r="X29">
        <v>41</v>
      </c>
      <c r="Y29">
        <v>35</v>
      </c>
      <c r="Z29" s="14">
        <v>41</v>
      </c>
      <c r="AA29">
        <v>55</v>
      </c>
      <c r="AB29">
        <v>39</v>
      </c>
      <c r="AC29">
        <v>30</v>
      </c>
      <c r="AD29">
        <v>27</v>
      </c>
      <c r="AE29">
        <v>33</v>
      </c>
      <c r="AF29">
        <v>35</v>
      </c>
      <c r="AG29">
        <v>46</v>
      </c>
    </row>
    <row r="30" spans="1:33" x14ac:dyDescent="0.25">
      <c r="A30" t="s">
        <v>186</v>
      </c>
      <c r="B30">
        <v>81</v>
      </c>
      <c r="C30">
        <v>27</v>
      </c>
      <c r="D30">
        <v>39</v>
      </c>
      <c r="E30">
        <v>60</v>
      </c>
      <c r="F30">
        <v>69</v>
      </c>
      <c r="G30">
        <v>39</v>
      </c>
      <c r="H30">
        <v>51</v>
      </c>
      <c r="I30">
        <v>78</v>
      </c>
      <c r="J30" s="14">
        <v>87</v>
      </c>
      <c r="K30">
        <v>71</v>
      </c>
      <c r="L30">
        <v>57</v>
      </c>
      <c r="M30">
        <v>89</v>
      </c>
      <c r="N30">
        <v>86</v>
      </c>
      <c r="O30">
        <v>88</v>
      </c>
      <c r="P30">
        <v>87</v>
      </c>
      <c r="Q30">
        <v>89</v>
      </c>
      <c r="R30" s="14">
        <v>17</v>
      </c>
      <c r="S30">
        <v>10</v>
      </c>
      <c r="T30">
        <v>24</v>
      </c>
      <c r="U30">
        <v>16</v>
      </c>
      <c r="V30">
        <v>11</v>
      </c>
      <c r="W30">
        <v>24</v>
      </c>
      <c r="X30">
        <v>41</v>
      </c>
      <c r="Y30">
        <v>29</v>
      </c>
      <c r="Z30" s="14">
        <v>29</v>
      </c>
      <c r="AA30">
        <v>21</v>
      </c>
      <c r="AB30">
        <v>56</v>
      </c>
      <c r="AC30">
        <v>22</v>
      </c>
      <c r="AD30">
        <v>56</v>
      </c>
      <c r="AE30">
        <v>20</v>
      </c>
      <c r="AF30">
        <v>51</v>
      </c>
      <c r="AG30">
        <v>42</v>
      </c>
    </row>
    <row r="32" spans="1:33" s="25" customFormat="1" x14ac:dyDescent="0.25">
      <c r="A32" s="25" t="s">
        <v>1</v>
      </c>
      <c r="J32" s="31"/>
      <c r="R32" s="31"/>
      <c r="Z32" s="31"/>
    </row>
    <row r="33" spans="1:33" x14ac:dyDescent="0.25">
      <c r="A33" t="s">
        <v>3</v>
      </c>
      <c r="B33">
        <v>25</v>
      </c>
      <c r="C33">
        <v>48</v>
      </c>
      <c r="D33">
        <v>30</v>
      </c>
      <c r="E33">
        <v>46</v>
      </c>
      <c r="F33">
        <v>28</v>
      </c>
      <c r="G33">
        <v>26</v>
      </c>
      <c r="H33">
        <v>40</v>
      </c>
      <c r="I33">
        <v>17</v>
      </c>
      <c r="J33" s="18"/>
      <c r="K33" s="7"/>
      <c r="L33" s="7"/>
      <c r="M33" s="7"/>
      <c r="N33" s="7"/>
      <c r="O33" s="7"/>
      <c r="P33" s="7"/>
      <c r="Q33" s="7"/>
      <c r="R33" s="14">
        <v>34</v>
      </c>
      <c r="S33">
        <v>10</v>
      </c>
      <c r="T33">
        <v>29</v>
      </c>
      <c r="U33">
        <v>21</v>
      </c>
      <c r="V33">
        <v>31</v>
      </c>
      <c r="X33">
        <v>19</v>
      </c>
      <c r="Y33">
        <v>35</v>
      </c>
      <c r="Z33" s="14">
        <v>33</v>
      </c>
      <c r="AA33">
        <v>36</v>
      </c>
      <c r="AB33">
        <v>15</v>
      </c>
      <c r="AC33">
        <v>19</v>
      </c>
      <c r="AD33">
        <v>23</v>
      </c>
      <c r="AE33">
        <v>21</v>
      </c>
      <c r="AF33">
        <v>5</v>
      </c>
      <c r="AG33">
        <v>35</v>
      </c>
    </row>
    <row r="34" spans="1:33" x14ac:dyDescent="0.25">
      <c r="A34" t="s">
        <v>13</v>
      </c>
      <c r="B34">
        <v>20</v>
      </c>
      <c r="C34">
        <v>23</v>
      </c>
      <c r="D34">
        <v>21</v>
      </c>
      <c r="E34">
        <v>58</v>
      </c>
      <c r="F34">
        <v>6</v>
      </c>
      <c r="G34">
        <v>28</v>
      </c>
      <c r="H34">
        <v>37</v>
      </c>
      <c r="I34">
        <v>46</v>
      </c>
      <c r="J34" s="18"/>
      <c r="K34" s="7"/>
      <c r="L34" s="7"/>
      <c r="M34" s="7"/>
      <c r="N34" s="7"/>
      <c r="O34" s="7"/>
      <c r="P34" s="7"/>
      <c r="Q34" s="7"/>
      <c r="R34" s="14">
        <v>28</v>
      </c>
      <c r="S34">
        <v>27</v>
      </c>
      <c r="T34">
        <v>16</v>
      </c>
      <c r="U34">
        <v>29</v>
      </c>
      <c r="V34">
        <v>4</v>
      </c>
      <c r="W34">
        <v>31</v>
      </c>
      <c r="X34">
        <v>19</v>
      </c>
      <c r="Y34">
        <v>32</v>
      </c>
      <c r="Z34" s="14">
        <v>34</v>
      </c>
      <c r="AA34">
        <v>33</v>
      </c>
      <c r="AB34">
        <v>58</v>
      </c>
      <c r="AC34">
        <v>28</v>
      </c>
      <c r="AD34">
        <v>66</v>
      </c>
      <c r="AE34">
        <v>52</v>
      </c>
      <c r="AF34">
        <v>36</v>
      </c>
      <c r="AG34">
        <v>30</v>
      </c>
    </row>
    <row r="35" spans="1:33" x14ac:dyDescent="0.25">
      <c r="A35" t="s">
        <v>68</v>
      </c>
      <c r="B35">
        <v>22</v>
      </c>
      <c r="C35">
        <v>57</v>
      </c>
      <c r="D35">
        <v>10</v>
      </c>
      <c r="E35">
        <v>17</v>
      </c>
      <c r="F35">
        <v>27</v>
      </c>
      <c r="G35">
        <v>53</v>
      </c>
      <c r="H35">
        <v>26</v>
      </c>
      <c r="I35">
        <v>32</v>
      </c>
      <c r="J35" s="18"/>
      <c r="K35" s="7"/>
      <c r="L35" s="7"/>
      <c r="M35" s="7"/>
      <c r="N35" s="7"/>
      <c r="O35" s="7"/>
      <c r="P35" s="7"/>
      <c r="Q35" s="7"/>
      <c r="R35" s="14">
        <v>61</v>
      </c>
      <c r="S35">
        <v>23</v>
      </c>
      <c r="T35">
        <v>47</v>
      </c>
      <c r="U35">
        <v>8</v>
      </c>
      <c r="V35">
        <v>16</v>
      </c>
      <c r="W35">
        <v>13</v>
      </c>
      <c r="X35">
        <v>43</v>
      </c>
      <c r="Y35">
        <v>53</v>
      </c>
      <c r="Z35" s="14">
        <v>62</v>
      </c>
      <c r="AA35">
        <v>41</v>
      </c>
      <c r="AB35">
        <v>46</v>
      </c>
      <c r="AC35">
        <v>70</v>
      </c>
      <c r="AD35">
        <v>15</v>
      </c>
      <c r="AE35">
        <v>15</v>
      </c>
      <c r="AF35">
        <v>51</v>
      </c>
      <c r="AG35">
        <v>14</v>
      </c>
    </row>
    <row r="36" spans="1:33" x14ac:dyDescent="0.25">
      <c r="A36" t="s">
        <v>69</v>
      </c>
      <c r="B36">
        <v>14</v>
      </c>
      <c r="C36">
        <v>6</v>
      </c>
      <c r="D36">
        <v>2</v>
      </c>
      <c r="E36">
        <v>14</v>
      </c>
      <c r="F36">
        <v>32</v>
      </c>
      <c r="G36">
        <v>50</v>
      </c>
      <c r="H36">
        <v>11</v>
      </c>
      <c r="I36">
        <v>10</v>
      </c>
      <c r="J36" s="14">
        <v>56</v>
      </c>
      <c r="K36">
        <v>54</v>
      </c>
      <c r="L36">
        <v>49</v>
      </c>
      <c r="M36">
        <v>44</v>
      </c>
      <c r="N36">
        <v>70</v>
      </c>
      <c r="O36">
        <v>56</v>
      </c>
      <c r="P36">
        <v>56</v>
      </c>
      <c r="Q36">
        <v>33</v>
      </c>
      <c r="R36" s="14">
        <v>6</v>
      </c>
      <c r="S36">
        <v>2</v>
      </c>
      <c r="T36">
        <v>20</v>
      </c>
      <c r="U36">
        <v>2</v>
      </c>
      <c r="V36">
        <v>15</v>
      </c>
      <c r="W36">
        <v>2</v>
      </c>
      <c r="X36">
        <v>13</v>
      </c>
      <c r="Y36">
        <v>44</v>
      </c>
      <c r="Z36" s="14">
        <v>6</v>
      </c>
      <c r="AA36">
        <v>5</v>
      </c>
      <c r="AB36">
        <v>4</v>
      </c>
      <c r="AC36">
        <v>10</v>
      </c>
      <c r="AD36">
        <v>14</v>
      </c>
      <c r="AE36">
        <v>11</v>
      </c>
      <c r="AF36">
        <v>17</v>
      </c>
      <c r="AG36">
        <v>28</v>
      </c>
    </row>
    <row r="37" spans="1:33" x14ac:dyDescent="0.25">
      <c r="A37" t="s">
        <v>70</v>
      </c>
      <c r="B37">
        <v>64</v>
      </c>
      <c r="C37">
        <v>40</v>
      </c>
      <c r="D37">
        <v>50</v>
      </c>
      <c r="E37">
        <v>60</v>
      </c>
      <c r="F37">
        <v>43</v>
      </c>
      <c r="G37">
        <v>41</v>
      </c>
      <c r="H37">
        <v>33</v>
      </c>
      <c r="I37">
        <v>7</v>
      </c>
      <c r="J37" s="14">
        <v>90</v>
      </c>
      <c r="K37">
        <v>97</v>
      </c>
      <c r="L37">
        <v>96</v>
      </c>
      <c r="M37">
        <v>93</v>
      </c>
      <c r="N37">
        <v>91</v>
      </c>
      <c r="O37">
        <v>81</v>
      </c>
      <c r="P37">
        <v>80</v>
      </c>
      <c r="Q37">
        <v>91</v>
      </c>
      <c r="R37" s="14">
        <v>21</v>
      </c>
      <c r="S37">
        <v>8</v>
      </c>
      <c r="T37">
        <v>57</v>
      </c>
      <c r="U37">
        <v>55</v>
      </c>
      <c r="V37">
        <v>37</v>
      </c>
      <c r="W37">
        <v>48</v>
      </c>
      <c r="X37">
        <v>23</v>
      </c>
      <c r="Y37">
        <v>13</v>
      </c>
      <c r="Z37" s="14">
        <v>19</v>
      </c>
      <c r="AA37">
        <v>8</v>
      </c>
      <c r="AB37">
        <v>57</v>
      </c>
      <c r="AC37">
        <v>53</v>
      </c>
      <c r="AD37">
        <v>52</v>
      </c>
      <c r="AE37">
        <v>10</v>
      </c>
      <c r="AF37">
        <v>35</v>
      </c>
      <c r="AG37">
        <v>9</v>
      </c>
    </row>
    <row r="38" spans="1:33" x14ac:dyDescent="0.25">
      <c r="A38" t="s">
        <v>74</v>
      </c>
      <c r="B38">
        <v>21</v>
      </c>
      <c r="C38">
        <v>23</v>
      </c>
      <c r="D38">
        <v>21</v>
      </c>
      <c r="E38">
        <v>17</v>
      </c>
      <c r="F38">
        <v>18</v>
      </c>
      <c r="G38">
        <v>25</v>
      </c>
      <c r="H38">
        <v>20</v>
      </c>
      <c r="I38">
        <v>17</v>
      </c>
      <c r="J38" s="14">
        <v>46</v>
      </c>
      <c r="K38">
        <v>60</v>
      </c>
      <c r="L38">
        <v>54</v>
      </c>
      <c r="M38">
        <v>69</v>
      </c>
      <c r="N38">
        <v>25</v>
      </c>
      <c r="O38">
        <v>38</v>
      </c>
      <c r="P38">
        <v>33</v>
      </c>
      <c r="Q38">
        <v>58</v>
      </c>
      <c r="R38" s="14">
        <v>21</v>
      </c>
      <c r="S38">
        <v>18</v>
      </c>
      <c r="T38">
        <v>21</v>
      </c>
      <c r="U38">
        <v>18</v>
      </c>
      <c r="V38">
        <v>10</v>
      </c>
      <c r="W38">
        <v>20</v>
      </c>
      <c r="X38">
        <v>23</v>
      </c>
      <c r="Y38">
        <v>44</v>
      </c>
      <c r="Z38" s="14">
        <v>21</v>
      </c>
      <c r="AA38">
        <v>22</v>
      </c>
      <c r="AB38">
        <v>19</v>
      </c>
      <c r="AC38">
        <v>14</v>
      </c>
      <c r="AD38">
        <v>27</v>
      </c>
      <c r="AE38">
        <v>20</v>
      </c>
      <c r="AF38">
        <v>29</v>
      </c>
      <c r="AG38">
        <v>17</v>
      </c>
    </row>
    <row r="39" spans="1:33" x14ac:dyDescent="0.25">
      <c r="A39" t="s">
        <v>79</v>
      </c>
      <c r="B39">
        <v>28</v>
      </c>
      <c r="C39">
        <v>26</v>
      </c>
      <c r="D39">
        <v>18</v>
      </c>
      <c r="E39">
        <v>42</v>
      </c>
      <c r="F39">
        <v>3</v>
      </c>
      <c r="G39">
        <v>23</v>
      </c>
      <c r="H39">
        <v>11</v>
      </c>
      <c r="I39">
        <v>4</v>
      </c>
      <c r="J39" s="14">
        <v>76</v>
      </c>
      <c r="K39">
        <v>47</v>
      </c>
      <c r="L39">
        <v>67</v>
      </c>
      <c r="M39">
        <v>78</v>
      </c>
      <c r="N39">
        <v>86</v>
      </c>
      <c r="O39">
        <v>79</v>
      </c>
      <c r="P39">
        <v>84</v>
      </c>
      <c r="Q39">
        <v>89</v>
      </c>
      <c r="R39" s="14">
        <v>4</v>
      </c>
      <c r="S39">
        <v>8</v>
      </c>
      <c r="T39">
        <v>0</v>
      </c>
      <c r="U39">
        <v>12</v>
      </c>
      <c r="V39">
        <v>8</v>
      </c>
      <c r="W39">
        <v>64</v>
      </c>
      <c r="X39">
        <v>1</v>
      </c>
      <c r="Y39">
        <v>1</v>
      </c>
      <c r="Z39" s="14">
        <v>4</v>
      </c>
      <c r="AA39">
        <v>8</v>
      </c>
      <c r="AB39">
        <v>5</v>
      </c>
      <c r="AC39">
        <v>4</v>
      </c>
      <c r="AD39">
        <v>47</v>
      </c>
      <c r="AE39">
        <v>7</v>
      </c>
      <c r="AF39">
        <v>24</v>
      </c>
      <c r="AG39">
        <v>8</v>
      </c>
    </row>
    <row r="40" spans="1:33" x14ac:dyDescent="0.25">
      <c r="A40" t="s">
        <v>80</v>
      </c>
      <c r="B40">
        <v>14</v>
      </c>
      <c r="C40">
        <v>1</v>
      </c>
      <c r="D40">
        <v>30</v>
      </c>
      <c r="E40">
        <v>2</v>
      </c>
      <c r="F40">
        <v>0</v>
      </c>
      <c r="G40">
        <v>2</v>
      </c>
      <c r="H40">
        <v>1</v>
      </c>
      <c r="I40">
        <v>16</v>
      </c>
      <c r="J40" s="14">
        <v>3</v>
      </c>
      <c r="K40">
        <v>41</v>
      </c>
      <c r="L40">
        <v>16</v>
      </c>
      <c r="M40">
        <v>1</v>
      </c>
      <c r="N40">
        <v>22</v>
      </c>
      <c r="O40">
        <v>1</v>
      </c>
      <c r="P40">
        <v>39</v>
      </c>
      <c r="Q40">
        <v>14</v>
      </c>
      <c r="R40" s="14">
        <v>1</v>
      </c>
      <c r="S40">
        <v>1</v>
      </c>
      <c r="T40">
        <v>1</v>
      </c>
      <c r="U40">
        <v>1</v>
      </c>
      <c r="V40">
        <v>1</v>
      </c>
      <c r="W40">
        <v>2</v>
      </c>
      <c r="X40">
        <v>52</v>
      </c>
      <c r="Y40">
        <v>26</v>
      </c>
      <c r="Z40" s="14">
        <v>4</v>
      </c>
      <c r="AA40">
        <v>26</v>
      </c>
      <c r="AB40">
        <v>3</v>
      </c>
      <c r="AC40">
        <v>1</v>
      </c>
      <c r="AD40">
        <v>1</v>
      </c>
      <c r="AE40">
        <v>49</v>
      </c>
      <c r="AF40">
        <v>24</v>
      </c>
      <c r="AG40">
        <v>1</v>
      </c>
    </row>
    <row r="41" spans="1:33" x14ac:dyDescent="0.25">
      <c r="A41" t="s">
        <v>86</v>
      </c>
      <c r="B41">
        <v>20</v>
      </c>
      <c r="C41">
        <v>41</v>
      </c>
      <c r="D41">
        <v>42</v>
      </c>
      <c r="E41">
        <v>26</v>
      </c>
      <c r="F41">
        <v>24</v>
      </c>
      <c r="G41">
        <v>13</v>
      </c>
      <c r="H41">
        <v>12</v>
      </c>
      <c r="I41">
        <v>21</v>
      </c>
      <c r="J41" s="14">
        <v>41</v>
      </c>
      <c r="K41">
        <v>76</v>
      </c>
      <c r="L41">
        <v>48</v>
      </c>
      <c r="M41">
        <v>69</v>
      </c>
      <c r="N41">
        <v>69</v>
      </c>
      <c r="O41">
        <v>66</v>
      </c>
      <c r="P41">
        <v>68</v>
      </c>
      <c r="Q41">
        <v>83</v>
      </c>
      <c r="R41" s="14">
        <v>18</v>
      </c>
      <c r="S41">
        <v>21</v>
      </c>
      <c r="T41">
        <v>13</v>
      </c>
      <c r="U41">
        <v>33</v>
      </c>
      <c r="V41">
        <v>30</v>
      </c>
      <c r="W41">
        <v>20</v>
      </c>
      <c r="X41">
        <v>20</v>
      </c>
      <c r="Y41">
        <v>31</v>
      </c>
      <c r="Z41" s="14">
        <v>16</v>
      </c>
      <c r="AA41">
        <v>47</v>
      </c>
      <c r="AB41">
        <v>10</v>
      </c>
      <c r="AC41">
        <v>22</v>
      </c>
      <c r="AD41">
        <v>27</v>
      </c>
      <c r="AE41">
        <v>24</v>
      </c>
      <c r="AF41">
        <v>24</v>
      </c>
      <c r="AG41">
        <v>14</v>
      </c>
    </row>
    <row r="42" spans="1:33" x14ac:dyDescent="0.25">
      <c r="A42" t="s">
        <v>92</v>
      </c>
      <c r="B42">
        <v>0</v>
      </c>
      <c r="C42">
        <v>17</v>
      </c>
      <c r="D42">
        <v>6</v>
      </c>
      <c r="E42">
        <v>33</v>
      </c>
      <c r="F42">
        <v>27</v>
      </c>
      <c r="G42">
        <v>22</v>
      </c>
      <c r="H42">
        <v>13</v>
      </c>
      <c r="I42">
        <v>6</v>
      </c>
      <c r="J42" s="14">
        <v>71</v>
      </c>
      <c r="K42">
        <v>66</v>
      </c>
      <c r="L42">
        <v>70</v>
      </c>
      <c r="M42">
        <v>77</v>
      </c>
      <c r="N42">
        <v>30</v>
      </c>
      <c r="O42">
        <v>30</v>
      </c>
      <c r="P42">
        <v>48</v>
      </c>
      <c r="Q42">
        <v>36</v>
      </c>
      <c r="R42" s="14">
        <v>22</v>
      </c>
      <c r="S42">
        <v>2</v>
      </c>
      <c r="T42">
        <v>11</v>
      </c>
      <c r="U42">
        <v>13</v>
      </c>
      <c r="V42">
        <v>70</v>
      </c>
      <c r="W42">
        <v>17</v>
      </c>
      <c r="X42">
        <v>42</v>
      </c>
      <c r="Y42">
        <v>18</v>
      </c>
      <c r="Z42" s="14">
        <v>49</v>
      </c>
      <c r="AA42">
        <v>47</v>
      </c>
      <c r="AB42">
        <v>21</v>
      </c>
      <c r="AC42">
        <v>21</v>
      </c>
      <c r="AD42">
        <v>28</v>
      </c>
      <c r="AE42">
        <v>17</v>
      </c>
      <c r="AF42">
        <v>31</v>
      </c>
      <c r="AG42">
        <v>12</v>
      </c>
    </row>
    <row r="43" spans="1:33" x14ac:dyDescent="0.25">
      <c r="A43" t="s">
        <v>93</v>
      </c>
      <c r="B43">
        <v>16</v>
      </c>
      <c r="C43">
        <v>19</v>
      </c>
      <c r="D43">
        <v>33</v>
      </c>
      <c r="E43">
        <v>13</v>
      </c>
      <c r="F43">
        <v>11</v>
      </c>
      <c r="G43">
        <v>5</v>
      </c>
      <c r="H43">
        <v>5</v>
      </c>
      <c r="I43">
        <v>17</v>
      </c>
      <c r="J43" s="14">
        <v>45</v>
      </c>
      <c r="K43">
        <v>38</v>
      </c>
      <c r="L43">
        <v>48</v>
      </c>
      <c r="M43">
        <v>48</v>
      </c>
      <c r="N43">
        <v>61</v>
      </c>
      <c r="O43">
        <v>65</v>
      </c>
      <c r="P43">
        <v>73</v>
      </c>
      <c r="Q43">
        <v>60</v>
      </c>
      <c r="R43" s="14">
        <v>8</v>
      </c>
      <c r="S43">
        <v>15</v>
      </c>
      <c r="T43">
        <v>17</v>
      </c>
      <c r="U43">
        <v>4</v>
      </c>
      <c r="V43">
        <v>21</v>
      </c>
      <c r="W43">
        <v>14</v>
      </c>
      <c r="X43">
        <v>16</v>
      </c>
      <c r="Y43">
        <v>15</v>
      </c>
      <c r="Z43" s="14">
        <v>10</v>
      </c>
      <c r="AA43">
        <v>17</v>
      </c>
      <c r="AB43">
        <v>12</v>
      </c>
      <c r="AC43">
        <v>10</v>
      </c>
      <c r="AD43">
        <v>22</v>
      </c>
      <c r="AE43">
        <v>15</v>
      </c>
      <c r="AF43">
        <v>23</v>
      </c>
      <c r="AG43">
        <v>21</v>
      </c>
    </row>
    <row r="44" spans="1:33" x14ac:dyDescent="0.25">
      <c r="A44" t="s">
        <v>110</v>
      </c>
      <c r="B44">
        <v>14</v>
      </c>
      <c r="C44">
        <v>15</v>
      </c>
      <c r="D44">
        <v>41</v>
      </c>
      <c r="E44">
        <v>42</v>
      </c>
      <c r="F44">
        <v>21</v>
      </c>
      <c r="G44">
        <v>21</v>
      </c>
      <c r="H44">
        <v>20</v>
      </c>
      <c r="I44">
        <v>22</v>
      </c>
      <c r="J44" s="14">
        <v>85</v>
      </c>
      <c r="K44">
        <v>90</v>
      </c>
      <c r="L44">
        <v>85</v>
      </c>
      <c r="M44">
        <v>93</v>
      </c>
      <c r="N44">
        <v>93</v>
      </c>
      <c r="O44">
        <v>90</v>
      </c>
      <c r="P44">
        <v>76</v>
      </c>
      <c r="Q44">
        <v>84</v>
      </c>
      <c r="R44" s="14">
        <v>22</v>
      </c>
      <c r="S44">
        <v>19</v>
      </c>
      <c r="T44">
        <v>27</v>
      </c>
      <c r="U44">
        <v>23</v>
      </c>
      <c r="V44">
        <v>10</v>
      </c>
      <c r="W44">
        <v>12</v>
      </c>
      <c r="X44">
        <v>10</v>
      </c>
      <c r="Y44">
        <v>12</v>
      </c>
      <c r="Z44" s="14">
        <v>46</v>
      </c>
      <c r="AA44">
        <v>20</v>
      </c>
      <c r="AB44">
        <v>19</v>
      </c>
      <c r="AC44">
        <v>42</v>
      </c>
      <c r="AD44">
        <v>18</v>
      </c>
      <c r="AE44">
        <v>19</v>
      </c>
      <c r="AF44">
        <v>9</v>
      </c>
      <c r="AG44">
        <v>11</v>
      </c>
    </row>
    <row r="45" spans="1:33" x14ac:dyDescent="0.25">
      <c r="A45" t="s">
        <v>120</v>
      </c>
      <c r="B45">
        <v>14</v>
      </c>
      <c r="C45">
        <v>16</v>
      </c>
      <c r="D45">
        <v>10</v>
      </c>
      <c r="E45" s="7"/>
      <c r="F45">
        <v>6</v>
      </c>
      <c r="G45">
        <v>9</v>
      </c>
      <c r="H45">
        <v>23</v>
      </c>
      <c r="I45">
        <v>14</v>
      </c>
      <c r="J45" s="14">
        <v>37</v>
      </c>
      <c r="K45">
        <v>59</v>
      </c>
      <c r="L45">
        <v>51</v>
      </c>
      <c r="M45" s="7"/>
      <c r="N45">
        <v>46</v>
      </c>
      <c r="O45">
        <v>53</v>
      </c>
      <c r="P45">
        <v>49</v>
      </c>
      <c r="Q45">
        <v>44</v>
      </c>
      <c r="R45" s="14">
        <v>19</v>
      </c>
      <c r="S45">
        <v>19</v>
      </c>
      <c r="T45">
        <v>13</v>
      </c>
      <c r="U45" s="7"/>
      <c r="V45">
        <v>9</v>
      </c>
      <c r="W45">
        <v>13</v>
      </c>
      <c r="X45">
        <v>19</v>
      </c>
      <c r="Y45">
        <v>5</v>
      </c>
      <c r="Z45" s="14">
        <v>14</v>
      </c>
      <c r="AA45">
        <v>7</v>
      </c>
      <c r="AB45">
        <v>12</v>
      </c>
      <c r="AC45" s="7"/>
      <c r="AD45">
        <v>8</v>
      </c>
      <c r="AE45">
        <v>13</v>
      </c>
      <c r="AF45">
        <v>19</v>
      </c>
      <c r="AG45">
        <v>6</v>
      </c>
    </row>
    <row r="46" spans="1:33" x14ac:dyDescent="0.25">
      <c r="A46" t="s">
        <v>125</v>
      </c>
      <c r="B46">
        <v>18</v>
      </c>
      <c r="C46">
        <v>41</v>
      </c>
      <c r="D46">
        <v>14</v>
      </c>
      <c r="E46">
        <v>47</v>
      </c>
      <c r="F46">
        <v>47</v>
      </c>
      <c r="G46">
        <v>35</v>
      </c>
      <c r="H46">
        <v>62</v>
      </c>
      <c r="I46">
        <v>63</v>
      </c>
      <c r="J46" s="14">
        <v>59</v>
      </c>
      <c r="K46">
        <v>67</v>
      </c>
      <c r="L46">
        <v>51</v>
      </c>
      <c r="M46">
        <v>56</v>
      </c>
      <c r="N46">
        <v>68</v>
      </c>
      <c r="O46">
        <v>67</v>
      </c>
      <c r="P46">
        <v>78</v>
      </c>
      <c r="Q46">
        <v>72</v>
      </c>
      <c r="R46" s="14">
        <v>25</v>
      </c>
      <c r="S46">
        <v>27</v>
      </c>
      <c r="T46">
        <v>22</v>
      </c>
      <c r="U46">
        <v>25</v>
      </c>
      <c r="V46">
        <v>28</v>
      </c>
      <c r="W46">
        <v>32</v>
      </c>
      <c r="X46">
        <v>33</v>
      </c>
      <c r="Y46">
        <v>22</v>
      </c>
      <c r="Z46" s="14">
        <v>8</v>
      </c>
      <c r="AA46">
        <v>16</v>
      </c>
      <c r="AB46">
        <v>12</v>
      </c>
      <c r="AC46">
        <v>18</v>
      </c>
      <c r="AD46">
        <v>17</v>
      </c>
      <c r="AE46">
        <v>25</v>
      </c>
      <c r="AF46">
        <v>18</v>
      </c>
      <c r="AG46">
        <v>73</v>
      </c>
    </row>
    <row r="47" spans="1:33" x14ac:dyDescent="0.25">
      <c r="A47" t="s">
        <v>130</v>
      </c>
      <c r="B47">
        <v>45</v>
      </c>
      <c r="C47">
        <v>40</v>
      </c>
      <c r="D47">
        <v>33</v>
      </c>
      <c r="E47">
        <v>37</v>
      </c>
      <c r="F47">
        <v>31</v>
      </c>
      <c r="G47">
        <v>31</v>
      </c>
      <c r="H47">
        <v>42</v>
      </c>
      <c r="I47">
        <v>25</v>
      </c>
      <c r="J47" s="14">
        <v>87</v>
      </c>
      <c r="K47">
        <v>64</v>
      </c>
      <c r="L47">
        <v>70</v>
      </c>
      <c r="M47">
        <v>77</v>
      </c>
      <c r="N47">
        <v>82</v>
      </c>
      <c r="O47">
        <v>75</v>
      </c>
      <c r="P47">
        <v>79</v>
      </c>
      <c r="Q47">
        <v>77</v>
      </c>
      <c r="R47" s="14">
        <v>43</v>
      </c>
      <c r="S47">
        <v>38</v>
      </c>
      <c r="T47">
        <v>49</v>
      </c>
      <c r="U47">
        <v>43</v>
      </c>
      <c r="V47">
        <v>9</v>
      </c>
      <c r="W47">
        <v>26</v>
      </c>
      <c r="X47">
        <v>13</v>
      </c>
      <c r="Y47">
        <v>21</v>
      </c>
      <c r="Z47" s="14">
        <v>56</v>
      </c>
      <c r="AA47">
        <v>43</v>
      </c>
      <c r="AB47">
        <v>35</v>
      </c>
      <c r="AC47">
        <v>35</v>
      </c>
      <c r="AD47">
        <v>29</v>
      </c>
      <c r="AE47">
        <v>37</v>
      </c>
      <c r="AF47">
        <v>44</v>
      </c>
      <c r="AG47">
        <v>22</v>
      </c>
    </row>
    <row r="48" spans="1:33" x14ac:dyDescent="0.25">
      <c r="A48" t="s">
        <v>145</v>
      </c>
      <c r="B48">
        <v>41</v>
      </c>
      <c r="C48">
        <v>59</v>
      </c>
      <c r="D48">
        <v>56</v>
      </c>
      <c r="E48">
        <v>62</v>
      </c>
      <c r="F48" s="4">
        <v>30</v>
      </c>
      <c r="G48" s="4">
        <v>14</v>
      </c>
      <c r="H48" s="4">
        <v>62</v>
      </c>
      <c r="I48" s="4">
        <v>48</v>
      </c>
      <c r="J48" s="14">
        <v>71</v>
      </c>
      <c r="K48">
        <v>43</v>
      </c>
      <c r="L48">
        <v>66</v>
      </c>
      <c r="M48">
        <v>78</v>
      </c>
      <c r="N48" s="4">
        <v>75</v>
      </c>
      <c r="O48" s="19">
        <v>72</v>
      </c>
      <c r="P48" s="19">
        <v>60</v>
      </c>
      <c r="Q48" s="19">
        <v>75</v>
      </c>
      <c r="R48" s="14">
        <v>12</v>
      </c>
      <c r="S48" s="5"/>
      <c r="T48">
        <v>38</v>
      </c>
      <c r="U48">
        <v>69</v>
      </c>
      <c r="V48">
        <v>54</v>
      </c>
      <c r="W48">
        <v>4</v>
      </c>
      <c r="X48">
        <v>51</v>
      </c>
      <c r="Y48">
        <v>50</v>
      </c>
      <c r="Z48" s="14">
        <v>32</v>
      </c>
      <c r="AA48" s="5"/>
      <c r="AB48">
        <v>46</v>
      </c>
      <c r="AC48">
        <v>50</v>
      </c>
      <c r="AD48">
        <v>50</v>
      </c>
      <c r="AE48">
        <v>9</v>
      </c>
      <c r="AF48">
        <v>38</v>
      </c>
      <c r="AG48">
        <v>54</v>
      </c>
    </row>
    <row r="49" spans="1:39" x14ac:dyDescent="0.25">
      <c r="A49" t="s">
        <v>144</v>
      </c>
      <c r="B49">
        <v>13</v>
      </c>
      <c r="C49">
        <v>17</v>
      </c>
      <c r="D49">
        <v>39</v>
      </c>
      <c r="E49">
        <v>45</v>
      </c>
      <c r="F49">
        <v>20</v>
      </c>
      <c r="G49">
        <v>29</v>
      </c>
      <c r="H49">
        <v>17</v>
      </c>
      <c r="I49">
        <v>39</v>
      </c>
      <c r="J49" s="14">
        <v>62</v>
      </c>
      <c r="K49">
        <v>78</v>
      </c>
      <c r="L49">
        <v>70</v>
      </c>
      <c r="M49">
        <v>48</v>
      </c>
      <c r="N49">
        <v>34</v>
      </c>
      <c r="O49">
        <v>67</v>
      </c>
      <c r="P49">
        <v>37</v>
      </c>
      <c r="Q49">
        <v>34</v>
      </c>
      <c r="R49" s="14">
        <v>59</v>
      </c>
      <c r="S49">
        <v>72</v>
      </c>
      <c r="T49">
        <v>40</v>
      </c>
      <c r="U49">
        <v>56</v>
      </c>
      <c r="V49">
        <v>21</v>
      </c>
      <c r="W49">
        <v>34</v>
      </c>
      <c r="X49">
        <v>45</v>
      </c>
      <c r="Y49">
        <v>22</v>
      </c>
      <c r="Z49" s="14">
        <v>29</v>
      </c>
      <c r="AA49">
        <v>35</v>
      </c>
      <c r="AB49">
        <v>30</v>
      </c>
      <c r="AC49">
        <v>50</v>
      </c>
      <c r="AD49">
        <v>27</v>
      </c>
      <c r="AE49">
        <v>27</v>
      </c>
      <c r="AF49">
        <v>36</v>
      </c>
      <c r="AG49">
        <v>31</v>
      </c>
    </row>
    <row r="50" spans="1:39" x14ac:dyDescent="0.25">
      <c r="A50" t="s">
        <v>132</v>
      </c>
      <c r="B50">
        <v>7</v>
      </c>
      <c r="C50">
        <v>49</v>
      </c>
      <c r="D50">
        <v>17</v>
      </c>
      <c r="E50">
        <v>26</v>
      </c>
      <c r="F50">
        <v>18</v>
      </c>
      <c r="G50">
        <v>26</v>
      </c>
      <c r="H50">
        <v>82</v>
      </c>
      <c r="I50">
        <v>63</v>
      </c>
      <c r="J50" s="14">
        <v>91</v>
      </c>
      <c r="K50">
        <v>82</v>
      </c>
      <c r="L50">
        <v>82</v>
      </c>
      <c r="M50">
        <v>90</v>
      </c>
      <c r="N50">
        <v>71</v>
      </c>
      <c r="O50">
        <v>83</v>
      </c>
      <c r="P50">
        <v>87</v>
      </c>
      <c r="Q50">
        <v>83</v>
      </c>
      <c r="R50" s="14">
        <v>49</v>
      </c>
      <c r="S50">
        <v>23</v>
      </c>
      <c r="T50">
        <v>44</v>
      </c>
      <c r="U50">
        <v>12</v>
      </c>
      <c r="V50">
        <v>41</v>
      </c>
      <c r="W50">
        <v>58</v>
      </c>
      <c r="X50">
        <v>59</v>
      </c>
      <c r="Y50">
        <v>51</v>
      </c>
      <c r="Z50" s="14">
        <v>49</v>
      </c>
      <c r="AA50">
        <v>33</v>
      </c>
      <c r="AB50">
        <v>19</v>
      </c>
      <c r="AC50">
        <v>22</v>
      </c>
      <c r="AD50">
        <v>45</v>
      </c>
      <c r="AE50">
        <v>72</v>
      </c>
      <c r="AF50">
        <v>32</v>
      </c>
      <c r="AG50">
        <v>47</v>
      </c>
    </row>
    <row r="51" spans="1:39" x14ac:dyDescent="0.25">
      <c r="A51" t="s">
        <v>146</v>
      </c>
      <c r="B51">
        <v>79</v>
      </c>
      <c r="C51">
        <v>76</v>
      </c>
      <c r="D51">
        <v>40</v>
      </c>
      <c r="E51">
        <v>84</v>
      </c>
      <c r="F51">
        <v>38</v>
      </c>
      <c r="G51">
        <v>44</v>
      </c>
      <c r="H51">
        <v>45</v>
      </c>
      <c r="I51">
        <v>61</v>
      </c>
      <c r="J51" s="14">
        <v>76</v>
      </c>
      <c r="K51">
        <v>90</v>
      </c>
      <c r="L51">
        <v>85</v>
      </c>
      <c r="M51">
        <v>94</v>
      </c>
      <c r="N51">
        <v>83</v>
      </c>
      <c r="O51">
        <v>87</v>
      </c>
      <c r="P51">
        <v>86</v>
      </c>
      <c r="Q51">
        <v>77</v>
      </c>
      <c r="R51" s="14">
        <v>26</v>
      </c>
      <c r="S51">
        <v>15</v>
      </c>
      <c r="T51">
        <v>23</v>
      </c>
      <c r="U51">
        <v>35</v>
      </c>
      <c r="V51">
        <v>68</v>
      </c>
      <c r="W51">
        <v>26</v>
      </c>
      <c r="X51">
        <v>39</v>
      </c>
      <c r="Y51">
        <v>51</v>
      </c>
      <c r="Z51" s="14">
        <v>31</v>
      </c>
      <c r="AA51">
        <v>12</v>
      </c>
      <c r="AB51">
        <v>23</v>
      </c>
      <c r="AC51">
        <v>32</v>
      </c>
      <c r="AD51">
        <v>61</v>
      </c>
      <c r="AE51">
        <v>75</v>
      </c>
      <c r="AF51">
        <v>38</v>
      </c>
      <c r="AG51">
        <v>55</v>
      </c>
    </row>
    <row r="52" spans="1:39" x14ac:dyDescent="0.25">
      <c r="A52" t="s">
        <v>147</v>
      </c>
      <c r="B52">
        <v>46</v>
      </c>
      <c r="C52">
        <v>18</v>
      </c>
      <c r="D52">
        <v>32</v>
      </c>
      <c r="E52">
        <v>36</v>
      </c>
      <c r="F52">
        <v>14</v>
      </c>
      <c r="G52">
        <v>48</v>
      </c>
      <c r="H52">
        <v>28</v>
      </c>
      <c r="I52">
        <v>32</v>
      </c>
      <c r="J52" s="14">
        <v>68</v>
      </c>
      <c r="K52">
        <v>76</v>
      </c>
      <c r="L52">
        <v>57</v>
      </c>
      <c r="M52">
        <v>84</v>
      </c>
      <c r="N52">
        <v>72</v>
      </c>
      <c r="O52">
        <v>80</v>
      </c>
      <c r="P52">
        <v>57</v>
      </c>
      <c r="Q52">
        <v>63</v>
      </c>
      <c r="R52" s="14">
        <v>17</v>
      </c>
      <c r="S52">
        <v>17</v>
      </c>
      <c r="T52">
        <v>26</v>
      </c>
      <c r="U52">
        <v>5</v>
      </c>
      <c r="V52">
        <v>48</v>
      </c>
      <c r="W52">
        <v>16</v>
      </c>
      <c r="X52">
        <v>33</v>
      </c>
      <c r="Y52">
        <v>51</v>
      </c>
      <c r="Z52" s="14">
        <v>7</v>
      </c>
      <c r="AA52">
        <v>6</v>
      </c>
      <c r="AB52">
        <v>8</v>
      </c>
      <c r="AC52">
        <v>48</v>
      </c>
      <c r="AD52">
        <v>18</v>
      </c>
      <c r="AE52">
        <v>13</v>
      </c>
      <c r="AF52">
        <v>14</v>
      </c>
      <c r="AG52">
        <v>56</v>
      </c>
    </row>
    <row r="53" spans="1:39" x14ac:dyDescent="0.25">
      <c r="A53" t="s">
        <v>155</v>
      </c>
      <c r="B53">
        <v>3</v>
      </c>
      <c r="C53">
        <v>23</v>
      </c>
      <c r="D53">
        <v>33</v>
      </c>
      <c r="E53" s="5"/>
      <c r="F53">
        <v>1</v>
      </c>
      <c r="G53">
        <v>0</v>
      </c>
      <c r="H53">
        <v>0</v>
      </c>
      <c r="I53">
        <v>0</v>
      </c>
      <c r="J53" s="14">
        <v>46</v>
      </c>
      <c r="K53">
        <v>49</v>
      </c>
      <c r="L53">
        <v>28</v>
      </c>
      <c r="M53" s="5"/>
      <c r="N53">
        <v>0</v>
      </c>
      <c r="O53">
        <v>33</v>
      </c>
      <c r="P53">
        <v>0</v>
      </c>
      <c r="Q53">
        <v>4</v>
      </c>
      <c r="R53" s="14">
        <v>11</v>
      </c>
      <c r="S53">
        <v>6</v>
      </c>
      <c r="T53">
        <v>41</v>
      </c>
      <c r="U53" s="5"/>
      <c r="V53">
        <v>0</v>
      </c>
      <c r="W53">
        <v>0</v>
      </c>
      <c r="X53">
        <v>0</v>
      </c>
      <c r="Y53">
        <v>0</v>
      </c>
      <c r="Z53" s="14">
        <v>20</v>
      </c>
      <c r="AA53">
        <v>1</v>
      </c>
      <c r="AB53">
        <v>25</v>
      </c>
      <c r="AC53" s="5"/>
      <c r="AD53">
        <v>25</v>
      </c>
      <c r="AE53">
        <v>0</v>
      </c>
      <c r="AF53">
        <v>22</v>
      </c>
      <c r="AG53">
        <v>0</v>
      </c>
    </row>
    <row r="54" spans="1:39" x14ac:dyDescent="0.25">
      <c r="A54" t="s">
        <v>158</v>
      </c>
      <c r="B54">
        <v>15</v>
      </c>
      <c r="C54">
        <v>53</v>
      </c>
      <c r="D54">
        <v>70</v>
      </c>
      <c r="E54">
        <v>49</v>
      </c>
      <c r="F54">
        <v>48</v>
      </c>
      <c r="G54">
        <v>10</v>
      </c>
      <c r="H54">
        <v>7</v>
      </c>
      <c r="I54">
        <v>69</v>
      </c>
      <c r="J54" s="14">
        <v>81</v>
      </c>
      <c r="K54" s="19">
        <v>93</v>
      </c>
      <c r="L54" s="19">
        <v>70</v>
      </c>
      <c r="M54" s="19">
        <v>57</v>
      </c>
      <c r="N54">
        <v>72</v>
      </c>
      <c r="O54">
        <v>77</v>
      </c>
      <c r="P54">
        <v>86</v>
      </c>
      <c r="Q54">
        <v>72</v>
      </c>
      <c r="R54" s="14">
        <v>5</v>
      </c>
      <c r="S54" s="19">
        <v>16</v>
      </c>
      <c r="T54" s="19">
        <v>4</v>
      </c>
      <c r="U54" s="19">
        <v>4</v>
      </c>
      <c r="V54" s="5"/>
      <c r="W54">
        <v>6</v>
      </c>
      <c r="X54">
        <v>5</v>
      </c>
      <c r="Y54" s="5"/>
      <c r="Z54" s="14">
        <v>45</v>
      </c>
      <c r="AA54" s="19">
        <v>18</v>
      </c>
      <c r="AB54" s="19">
        <v>8</v>
      </c>
      <c r="AC54" s="19">
        <v>25</v>
      </c>
      <c r="AD54">
        <v>16</v>
      </c>
      <c r="AE54">
        <v>8</v>
      </c>
      <c r="AF54">
        <v>3</v>
      </c>
      <c r="AG54" s="5"/>
    </row>
    <row r="55" spans="1:39" x14ac:dyDescent="0.25">
      <c r="A55" t="s">
        <v>162</v>
      </c>
      <c r="B55">
        <v>16</v>
      </c>
      <c r="C55">
        <v>29</v>
      </c>
      <c r="D55">
        <v>46</v>
      </c>
      <c r="E55">
        <v>68</v>
      </c>
      <c r="F55">
        <v>69</v>
      </c>
      <c r="G55">
        <v>85</v>
      </c>
      <c r="H55">
        <v>63</v>
      </c>
      <c r="I55">
        <v>91</v>
      </c>
      <c r="J55" s="14">
        <v>83</v>
      </c>
      <c r="K55">
        <v>84</v>
      </c>
      <c r="L55">
        <v>85</v>
      </c>
      <c r="M55">
        <v>74</v>
      </c>
      <c r="N55">
        <v>94</v>
      </c>
      <c r="O55">
        <v>94</v>
      </c>
      <c r="P55">
        <v>77</v>
      </c>
      <c r="Q55">
        <v>79</v>
      </c>
      <c r="R55" s="14">
        <v>39</v>
      </c>
      <c r="S55">
        <v>11</v>
      </c>
      <c r="T55">
        <v>15</v>
      </c>
      <c r="U55">
        <v>84</v>
      </c>
      <c r="V55">
        <v>32</v>
      </c>
      <c r="W55">
        <v>41</v>
      </c>
      <c r="X55">
        <v>21</v>
      </c>
      <c r="Y55">
        <v>80</v>
      </c>
      <c r="Z55" s="14">
        <v>24</v>
      </c>
      <c r="AA55">
        <v>21</v>
      </c>
      <c r="AB55">
        <v>57</v>
      </c>
      <c r="AC55">
        <v>77</v>
      </c>
      <c r="AD55">
        <v>30</v>
      </c>
      <c r="AE55">
        <v>48</v>
      </c>
      <c r="AF55" s="5"/>
      <c r="AG55">
        <v>24</v>
      </c>
    </row>
    <row r="56" spans="1:39" x14ac:dyDescent="0.25">
      <c r="A56" t="s">
        <v>160</v>
      </c>
      <c r="B56">
        <v>83</v>
      </c>
      <c r="C56">
        <v>88</v>
      </c>
      <c r="D56">
        <v>69</v>
      </c>
      <c r="E56">
        <v>84</v>
      </c>
      <c r="F56">
        <v>87</v>
      </c>
      <c r="G56">
        <v>82</v>
      </c>
      <c r="H56">
        <v>91</v>
      </c>
      <c r="I56">
        <v>91</v>
      </c>
      <c r="J56" s="14">
        <v>88</v>
      </c>
      <c r="K56">
        <v>91</v>
      </c>
      <c r="L56">
        <v>80</v>
      </c>
      <c r="M56">
        <v>68</v>
      </c>
      <c r="N56">
        <v>67</v>
      </c>
      <c r="O56">
        <v>72</v>
      </c>
      <c r="P56">
        <v>82</v>
      </c>
      <c r="Q56">
        <v>76</v>
      </c>
      <c r="R56" s="14">
        <v>51</v>
      </c>
      <c r="S56">
        <v>84</v>
      </c>
      <c r="T56">
        <v>72</v>
      </c>
      <c r="U56">
        <v>63</v>
      </c>
      <c r="V56">
        <v>60</v>
      </c>
      <c r="W56">
        <v>65</v>
      </c>
      <c r="X56">
        <v>72</v>
      </c>
      <c r="Y56">
        <v>52</v>
      </c>
      <c r="Z56" s="14">
        <v>52</v>
      </c>
      <c r="AA56">
        <v>90</v>
      </c>
      <c r="AB56">
        <v>82</v>
      </c>
      <c r="AC56">
        <v>59</v>
      </c>
      <c r="AD56">
        <v>46</v>
      </c>
      <c r="AE56">
        <v>75</v>
      </c>
      <c r="AF56">
        <v>80</v>
      </c>
      <c r="AG56">
        <v>51</v>
      </c>
    </row>
    <row r="57" spans="1:39" x14ac:dyDescent="0.25">
      <c r="A57" t="s">
        <v>173</v>
      </c>
      <c r="B57">
        <v>12</v>
      </c>
      <c r="C57">
        <v>16</v>
      </c>
      <c r="D57">
        <v>10</v>
      </c>
      <c r="E57">
        <v>8</v>
      </c>
      <c r="F57">
        <v>19</v>
      </c>
      <c r="G57">
        <v>22</v>
      </c>
      <c r="H57">
        <v>17</v>
      </c>
      <c r="I57">
        <v>20</v>
      </c>
      <c r="J57" s="14">
        <v>65</v>
      </c>
      <c r="K57">
        <v>64</v>
      </c>
      <c r="L57">
        <v>50</v>
      </c>
      <c r="M57">
        <v>40</v>
      </c>
      <c r="N57">
        <v>62</v>
      </c>
      <c r="O57">
        <v>54</v>
      </c>
      <c r="P57">
        <v>61</v>
      </c>
      <c r="Q57">
        <v>55</v>
      </c>
      <c r="R57" s="14">
        <v>26</v>
      </c>
      <c r="S57">
        <v>10</v>
      </c>
      <c r="T57">
        <v>21</v>
      </c>
      <c r="U57" s="5"/>
      <c r="V57">
        <v>17</v>
      </c>
      <c r="W57">
        <v>46</v>
      </c>
      <c r="X57">
        <v>27</v>
      </c>
      <c r="Y57">
        <v>26</v>
      </c>
      <c r="Z57" s="14">
        <v>20</v>
      </c>
      <c r="AA57">
        <v>19</v>
      </c>
      <c r="AB57">
        <v>10</v>
      </c>
      <c r="AC57" s="5"/>
      <c r="AD57">
        <v>29</v>
      </c>
      <c r="AE57">
        <v>7</v>
      </c>
      <c r="AF57">
        <v>10</v>
      </c>
      <c r="AG57">
        <v>6</v>
      </c>
    </row>
    <row r="58" spans="1:39" x14ac:dyDescent="0.25">
      <c r="A58" t="s">
        <v>174</v>
      </c>
      <c r="B58">
        <v>0</v>
      </c>
      <c r="C58">
        <v>24</v>
      </c>
      <c r="D58">
        <v>20</v>
      </c>
      <c r="E58">
        <v>35</v>
      </c>
      <c r="F58">
        <v>24</v>
      </c>
      <c r="G58">
        <v>21</v>
      </c>
      <c r="H58">
        <v>28</v>
      </c>
      <c r="I58">
        <v>20</v>
      </c>
      <c r="J58" s="14">
        <v>64</v>
      </c>
      <c r="K58">
        <v>71</v>
      </c>
      <c r="L58">
        <v>10</v>
      </c>
      <c r="M58">
        <v>73</v>
      </c>
      <c r="N58">
        <v>66</v>
      </c>
      <c r="O58">
        <v>75</v>
      </c>
      <c r="P58">
        <v>76</v>
      </c>
      <c r="Q58">
        <v>76</v>
      </c>
      <c r="R58" s="14">
        <v>6</v>
      </c>
      <c r="S58">
        <v>26</v>
      </c>
      <c r="T58">
        <v>18</v>
      </c>
      <c r="U58">
        <v>17</v>
      </c>
      <c r="V58">
        <v>11</v>
      </c>
      <c r="W58">
        <v>11</v>
      </c>
      <c r="X58">
        <v>24</v>
      </c>
      <c r="Y58">
        <v>35</v>
      </c>
      <c r="Z58" s="14">
        <v>8</v>
      </c>
      <c r="AA58">
        <v>28</v>
      </c>
      <c r="AB58">
        <v>18</v>
      </c>
      <c r="AC58">
        <v>20</v>
      </c>
      <c r="AD58">
        <v>18</v>
      </c>
      <c r="AE58">
        <v>22</v>
      </c>
      <c r="AF58">
        <v>23</v>
      </c>
      <c r="AG58">
        <v>18</v>
      </c>
    </row>
    <row r="59" spans="1:39" x14ac:dyDescent="0.25">
      <c r="A59" t="s">
        <v>175</v>
      </c>
      <c r="B59">
        <v>41</v>
      </c>
      <c r="C59">
        <v>35</v>
      </c>
      <c r="D59">
        <v>25</v>
      </c>
      <c r="E59">
        <v>46</v>
      </c>
      <c r="F59">
        <v>31</v>
      </c>
      <c r="G59">
        <v>49</v>
      </c>
      <c r="H59">
        <v>29</v>
      </c>
      <c r="I59">
        <v>35</v>
      </c>
      <c r="J59" s="14">
        <v>58</v>
      </c>
      <c r="K59">
        <v>55</v>
      </c>
      <c r="L59">
        <v>52</v>
      </c>
      <c r="M59">
        <v>61</v>
      </c>
      <c r="N59">
        <v>58</v>
      </c>
      <c r="O59">
        <v>57</v>
      </c>
      <c r="P59">
        <v>60</v>
      </c>
      <c r="Q59">
        <v>56</v>
      </c>
      <c r="R59" s="14">
        <v>32</v>
      </c>
      <c r="S59">
        <v>34</v>
      </c>
      <c r="T59">
        <v>22</v>
      </c>
      <c r="U59">
        <v>32</v>
      </c>
      <c r="V59">
        <v>42</v>
      </c>
      <c r="W59">
        <v>36</v>
      </c>
      <c r="X59">
        <v>29</v>
      </c>
      <c r="Y59">
        <v>22</v>
      </c>
      <c r="Z59" s="14">
        <v>49</v>
      </c>
      <c r="AA59">
        <v>20</v>
      </c>
      <c r="AB59">
        <v>32</v>
      </c>
      <c r="AC59">
        <v>23</v>
      </c>
      <c r="AD59">
        <v>34</v>
      </c>
      <c r="AE59">
        <v>40</v>
      </c>
      <c r="AF59">
        <v>41</v>
      </c>
      <c r="AG59">
        <v>38</v>
      </c>
    </row>
    <row r="60" spans="1:39" x14ac:dyDescent="0.25">
      <c r="A60" t="s">
        <v>187</v>
      </c>
      <c r="B60">
        <v>25</v>
      </c>
      <c r="C60">
        <v>33</v>
      </c>
      <c r="D60">
        <v>37</v>
      </c>
      <c r="E60">
        <v>47</v>
      </c>
      <c r="F60">
        <v>37</v>
      </c>
      <c r="G60">
        <v>38</v>
      </c>
      <c r="H60">
        <v>27</v>
      </c>
      <c r="I60">
        <v>44</v>
      </c>
      <c r="J60" s="14">
        <v>20</v>
      </c>
      <c r="K60">
        <v>65</v>
      </c>
      <c r="L60">
        <v>63</v>
      </c>
      <c r="M60">
        <v>56</v>
      </c>
      <c r="N60">
        <v>67</v>
      </c>
      <c r="O60">
        <v>62</v>
      </c>
      <c r="P60">
        <v>29</v>
      </c>
      <c r="Q60">
        <v>60</v>
      </c>
      <c r="R60" s="14">
        <v>13</v>
      </c>
      <c r="S60">
        <v>39</v>
      </c>
      <c r="T60">
        <v>35</v>
      </c>
      <c r="U60">
        <v>33</v>
      </c>
      <c r="V60">
        <v>25</v>
      </c>
      <c r="W60">
        <v>40</v>
      </c>
      <c r="X60">
        <v>33</v>
      </c>
      <c r="Y60">
        <v>36</v>
      </c>
      <c r="Z60" s="14">
        <v>15</v>
      </c>
      <c r="AA60">
        <v>46</v>
      </c>
      <c r="AB60">
        <v>33</v>
      </c>
      <c r="AC60">
        <v>22</v>
      </c>
      <c r="AD60">
        <v>28</v>
      </c>
      <c r="AE60">
        <v>42</v>
      </c>
      <c r="AF60">
        <v>35</v>
      </c>
      <c r="AG60">
        <v>35</v>
      </c>
    </row>
    <row r="61" spans="1:39" x14ac:dyDescent="0.25">
      <c r="A61" t="s">
        <v>186</v>
      </c>
      <c r="B61">
        <v>36</v>
      </c>
      <c r="C61">
        <v>36</v>
      </c>
      <c r="D61">
        <v>38</v>
      </c>
      <c r="E61">
        <v>34</v>
      </c>
      <c r="F61">
        <v>22</v>
      </c>
      <c r="G61">
        <v>17</v>
      </c>
      <c r="H61">
        <v>19</v>
      </c>
      <c r="I61">
        <v>27</v>
      </c>
      <c r="J61" s="14">
        <v>66</v>
      </c>
      <c r="K61">
        <v>92</v>
      </c>
      <c r="L61">
        <v>84</v>
      </c>
      <c r="M61">
        <v>86</v>
      </c>
      <c r="N61">
        <v>83</v>
      </c>
      <c r="O61">
        <v>53</v>
      </c>
      <c r="P61">
        <v>87</v>
      </c>
      <c r="Q61">
        <v>80</v>
      </c>
      <c r="R61" s="14">
        <v>26</v>
      </c>
      <c r="S61">
        <v>12</v>
      </c>
      <c r="T61">
        <v>39</v>
      </c>
      <c r="U61">
        <v>14</v>
      </c>
      <c r="V61">
        <v>21</v>
      </c>
      <c r="W61">
        <v>45</v>
      </c>
      <c r="X61">
        <v>21</v>
      </c>
      <c r="Y61">
        <v>7</v>
      </c>
      <c r="Z61" s="14">
        <v>15</v>
      </c>
      <c r="AA61">
        <v>43</v>
      </c>
      <c r="AB61">
        <v>25</v>
      </c>
      <c r="AC61">
        <v>39</v>
      </c>
      <c r="AD61">
        <v>15</v>
      </c>
      <c r="AE61">
        <v>18</v>
      </c>
      <c r="AF61">
        <v>32</v>
      </c>
      <c r="AG61">
        <v>15</v>
      </c>
    </row>
    <row r="63" spans="1:39" x14ac:dyDescent="0.25">
      <c r="AI63" s="25"/>
      <c r="AJ63" s="37"/>
      <c r="AK63" s="37"/>
      <c r="AL63" s="37"/>
      <c r="AM63" s="37"/>
    </row>
    <row r="64" spans="1:39" x14ac:dyDescent="0.25">
      <c r="AJ64" s="6"/>
      <c r="AK64" s="6"/>
      <c r="AL64" s="6"/>
      <c r="AM64" s="6"/>
    </row>
    <row r="65" spans="35:44" x14ac:dyDescent="0.25">
      <c r="AI65" s="25"/>
      <c r="AJ65" s="12"/>
      <c r="AK65" s="12"/>
      <c r="AL65" s="12"/>
      <c r="AM65" s="12"/>
    </row>
    <row r="66" spans="35:44" x14ac:dyDescent="0.25">
      <c r="AI66" s="25"/>
      <c r="AJ66" s="12"/>
      <c r="AK66" s="12"/>
      <c r="AL66" s="12"/>
      <c r="AM66" s="12"/>
    </row>
    <row r="67" spans="35:44" x14ac:dyDescent="0.25">
      <c r="AI67" s="25"/>
      <c r="AJ67" s="12"/>
      <c r="AK67" s="12"/>
      <c r="AL67" s="12"/>
      <c r="AM67" s="12"/>
      <c r="AO67" s="1"/>
      <c r="AP67" s="1"/>
      <c r="AQ67" s="1"/>
      <c r="AR67" s="1"/>
    </row>
    <row r="68" spans="35:44" x14ac:dyDescent="0.25">
      <c r="AI68" s="25"/>
      <c r="AJ68" s="12"/>
      <c r="AK68" s="12"/>
      <c r="AL68" s="12"/>
      <c r="AM68" s="12"/>
    </row>
    <row r="69" spans="35:44" x14ac:dyDescent="0.25">
      <c r="AI69" s="25"/>
      <c r="AJ69" s="12"/>
      <c r="AK69" s="12"/>
      <c r="AL69" s="12"/>
      <c r="AM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M69"/>
  <sheetViews>
    <sheetView zoomScale="55" zoomScaleNormal="55" workbookViewId="0">
      <selection activeCell="AK28" sqref="AK28"/>
    </sheetView>
  </sheetViews>
  <sheetFormatPr defaultRowHeight="15" x14ac:dyDescent="0.25"/>
  <cols>
    <col min="10" max="10" width="9.140625" style="14"/>
    <col min="18" max="18" width="9.140625" style="14"/>
    <col min="26" max="26" width="9.140625" style="14"/>
  </cols>
  <sheetData>
    <row r="1" spans="1:33" s="25" customFormat="1" x14ac:dyDescent="0.25">
      <c r="A1" s="25" t="s">
        <v>0</v>
      </c>
      <c r="B1" s="25" t="s">
        <v>205</v>
      </c>
      <c r="C1" s="25" t="s">
        <v>206</v>
      </c>
      <c r="D1" s="25" t="s">
        <v>207</v>
      </c>
      <c r="E1" s="25" t="s">
        <v>208</v>
      </c>
      <c r="F1" s="25" t="s">
        <v>209</v>
      </c>
      <c r="G1" s="25" t="s">
        <v>210</v>
      </c>
      <c r="H1" s="25" t="s">
        <v>211</v>
      </c>
      <c r="I1" s="25" t="s">
        <v>212</v>
      </c>
      <c r="J1" s="25" t="s">
        <v>213</v>
      </c>
      <c r="K1" s="25" t="s">
        <v>214</v>
      </c>
      <c r="L1" s="25" t="s">
        <v>215</v>
      </c>
      <c r="M1" s="25" t="s">
        <v>216</v>
      </c>
      <c r="N1" s="25" t="s">
        <v>217</v>
      </c>
      <c r="O1" s="25" t="s">
        <v>218</v>
      </c>
      <c r="P1" s="25" t="s">
        <v>219</v>
      </c>
      <c r="Q1" s="25" t="s">
        <v>220</v>
      </c>
      <c r="R1" s="31" t="s">
        <v>221</v>
      </c>
      <c r="S1" s="25" t="s">
        <v>222</v>
      </c>
      <c r="T1" s="25" t="s">
        <v>223</v>
      </c>
      <c r="U1" s="25" t="s">
        <v>224</v>
      </c>
      <c r="V1" s="25" t="s">
        <v>225</v>
      </c>
      <c r="W1" s="25" t="s">
        <v>226</v>
      </c>
      <c r="X1" s="25" t="s">
        <v>227</v>
      </c>
      <c r="Y1" s="25" t="s">
        <v>228</v>
      </c>
      <c r="Z1" s="31" t="s">
        <v>229</v>
      </c>
      <c r="AA1" s="25" t="s">
        <v>230</v>
      </c>
      <c r="AB1" s="25" t="s">
        <v>231</v>
      </c>
      <c r="AC1" s="25" t="s">
        <v>232</v>
      </c>
      <c r="AD1" s="25" t="s">
        <v>233</v>
      </c>
      <c r="AE1" s="25" t="s">
        <v>234</v>
      </c>
      <c r="AF1" s="25" t="s">
        <v>235</v>
      </c>
      <c r="AG1" s="25" t="s">
        <v>236</v>
      </c>
    </row>
    <row r="2" spans="1:33" x14ac:dyDescent="0.25">
      <c r="A2" t="s">
        <v>3</v>
      </c>
      <c r="B2">
        <v>69</v>
      </c>
      <c r="C2">
        <v>42</v>
      </c>
      <c r="D2">
        <v>48</v>
      </c>
      <c r="E2">
        <v>41</v>
      </c>
      <c r="F2">
        <v>33</v>
      </c>
      <c r="G2">
        <v>43</v>
      </c>
      <c r="H2">
        <v>50</v>
      </c>
      <c r="I2">
        <v>44</v>
      </c>
      <c r="J2" s="18"/>
      <c r="K2" s="7"/>
      <c r="L2" s="7"/>
      <c r="M2" s="7"/>
      <c r="N2" s="7"/>
      <c r="O2" s="7"/>
      <c r="P2" s="7"/>
      <c r="Q2" s="7"/>
      <c r="R2" s="14">
        <v>69</v>
      </c>
      <c r="S2">
        <v>40</v>
      </c>
      <c r="T2">
        <v>68</v>
      </c>
      <c r="U2">
        <v>59</v>
      </c>
      <c r="V2">
        <v>51</v>
      </c>
      <c r="W2">
        <v>52</v>
      </c>
      <c r="X2">
        <v>19</v>
      </c>
      <c r="Y2">
        <v>30</v>
      </c>
      <c r="Z2" s="14">
        <v>61</v>
      </c>
      <c r="AA2">
        <v>40</v>
      </c>
      <c r="AB2">
        <v>52</v>
      </c>
      <c r="AC2">
        <v>51</v>
      </c>
      <c r="AD2">
        <v>68</v>
      </c>
      <c r="AE2">
        <v>46</v>
      </c>
      <c r="AF2">
        <v>51</v>
      </c>
      <c r="AG2">
        <v>40</v>
      </c>
    </row>
    <row r="3" spans="1:33" x14ac:dyDescent="0.25">
      <c r="A3" t="s">
        <v>13</v>
      </c>
      <c r="B3">
        <v>9</v>
      </c>
      <c r="C3">
        <v>17</v>
      </c>
      <c r="D3">
        <v>38</v>
      </c>
      <c r="E3">
        <v>44</v>
      </c>
      <c r="F3">
        <v>35</v>
      </c>
      <c r="G3">
        <v>31</v>
      </c>
      <c r="H3">
        <v>29</v>
      </c>
      <c r="I3">
        <v>20</v>
      </c>
      <c r="J3" s="18"/>
      <c r="K3" s="7"/>
      <c r="L3" s="7"/>
      <c r="M3" s="7"/>
      <c r="N3" s="7"/>
      <c r="O3" s="7"/>
      <c r="P3" s="7"/>
      <c r="Q3" s="7"/>
      <c r="R3" s="14">
        <v>39</v>
      </c>
      <c r="S3">
        <v>40</v>
      </c>
      <c r="T3">
        <v>39</v>
      </c>
      <c r="U3">
        <v>55</v>
      </c>
      <c r="V3">
        <v>51</v>
      </c>
      <c r="W3">
        <v>66</v>
      </c>
      <c r="X3">
        <v>55</v>
      </c>
      <c r="Y3">
        <v>66</v>
      </c>
      <c r="Z3" s="14">
        <v>26</v>
      </c>
      <c r="AA3">
        <v>42</v>
      </c>
      <c r="AB3">
        <v>64</v>
      </c>
      <c r="AC3">
        <v>58</v>
      </c>
      <c r="AD3">
        <v>67</v>
      </c>
      <c r="AE3">
        <v>60</v>
      </c>
      <c r="AF3">
        <v>76</v>
      </c>
      <c r="AG3">
        <v>70</v>
      </c>
    </row>
    <row r="4" spans="1:33" x14ac:dyDescent="0.25">
      <c r="A4" t="s">
        <v>68</v>
      </c>
      <c r="B4">
        <v>79</v>
      </c>
      <c r="C4">
        <v>46</v>
      </c>
      <c r="D4">
        <v>76</v>
      </c>
      <c r="E4">
        <v>34</v>
      </c>
      <c r="F4">
        <v>63</v>
      </c>
      <c r="G4">
        <v>75</v>
      </c>
      <c r="H4">
        <v>80</v>
      </c>
      <c r="I4">
        <v>73</v>
      </c>
      <c r="J4" s="18"/>
      <c r="K4" s="7"/>
      <c r="L4" s="7"/>
      <c r="M4" s="7"/>
      <c r="N4" s="7"/>
      <c r="O4" s="7"/>
      <c r="P4" s="7"/>
      <c r="Q4" s="7"/>
      <c r="R4" s="14">
        <v>80</v>
      </c>
      <c r="S4">
        <v>79</v>
      </c>
      <c r="T4">
        <v>47</v>
      </c>
      <c r="U4">
        <v>64</v>
      </c>
      <c r="V4">
        <v>71</v>
      </c>
      <c r="W4">
        <v>96</v>
      </c>
      <c r="X4">
        <v>79</v>
      </c>
      <c r="Y4">
        <v>74</v>
      </c>
      <c r="Z4" s="14">
        <v>72</v>
      </c>
      <c r="AA4">
        <v>45</v>
      </c>
      <c r="AB4">
        <v>62</v>
      </c>
      <c r="AC4">
        <v>87</v>
      </c>
      <c r="AD4">
        <v>74</v>
      </c>
      <c r="AE4">
        <v>97</v>
      </c>
      <c r="AF4">
        <v>45</v>
      </c>
      <c r="AG4">
        <v>75</v>
      </c>
    </row>
    <row r="5" spans="1:33" x14ac:dyDescent="0.25">
      <c r="A5" t="s">
        <v>69</v>
      </c>
      <c r="B5">
        <v>66</v>
      </c>
      <c r="C5">
        <v>27</v>
      </c>
      <c r="D5">
        <v>26</v>
      </c>
      <c r="E5">
        <v>77</v>
      </c>
      <c r="F5">
        <v>45</v>
      </c>
      <c r="G5">
        <v>54</v>
      </c>
      <c r="H5">
        <v>52</v>
      </c>
      <c r="I5">
        <v>32</v>
      </c>
      <c r="J5" s="14">
        <v>12</v>
      </c>
      <c r="K5">
        <v>15</v>
      </c>
      <c r="L5">
        <v>23</v>
      </c>
      <c r="M5">
        <v>10</v>
      </c>
      <c r="N5">
        <v>6</v>
      </c>
      <c r="O5">
        <v>12</v>
      </c>
      <c r="P5">
        <v>1</v>
      </c>
      <c r="Q5">
        <v>2</v>
      </c>
      <c r="R5" s="14">
        <v>87</v>
      </c>
      <c r="S5">
        <v>94</v>
      </c>
      <c r="T5">
        <v>79</v>
      </c>
      <c r="U5">
        <v>69</v>
      </c>
      <c r="V5">
        <v>54</v>
      </c>
      <c r="W5">
        <v>58</v>
      </c>
      <c r="X5">
        <v>59</v>
      </c>
      <c r="Y5">
        <v>59</v>
      </c>
      <c r="Z5" s="14">
        <v>98</v>
      </c>
      <c r="AA5">
        <v>78</v>
      </c>
      <c r="AB5">
        <v>72</v>
      </c>
      <c r="AC5">
        <v>95</v>
      </c>
      <c r="AD5">
        <v>84</v>
      </c>
      <c r="AE5">
        <v>83</v>
      </c>
      <c r="AF5">
        <v>88</v>
      </c>
      <c r="AG5">
        <v>67</v>
      </c>
    </row>
    <row r="6" spans="1:33" x14ac:dyDescent="0.25">
      <c r="A6" t="s">
        <v>70</v>
      </c>
      <c r="B6">
        <v>79</v>
      </c>
      <c r="C6">
        <v>70</v>
      </c>
      <c r="D6">
        <v>26</v>
      </c>
      <c r="E6">
        <v>33</v>
      </c>
      <c r="F6">
        <v>83</v>
      </c>
      <c r="G6">
        <v>91</v>
      </c>
      <c r="H6">
        <v>78</v>
      </c>
      <c r="I6">
        <v>69</v>
      </c>
      <c r="J6" s="14">
        <v>0</v>
      </c>
      <c r="K6">
        <v>17</v>
      </c>
      <c r="L6">
        <v>2</v>
      </c>
      <c r="M6">
        <v>2</v>
      </c>
      <c r="N6">
        <v>7</v>
      </c>
      <c r="O6">
        <v>2</v>
      </c>
      <c r="P6">
        <v>2</v>
      </c>
      <c r="Q6">
        <v>1</v>
      </c>
      <c r="R6" s="14">
        <v>73</v>
      </c>
      <c r="S6">
        <v>73</v>
      </c>
      <c r="T6">
        <v>92</v>
      </c>
      <c r="U6">
        <v>87</v>
      </c>
      <c r="V6">
        <v>64</v>
      </c>
      <c r="W6">
        <v>96</v>
      </c>
      <c r="X6">
        <v>89</v>
      </c>
      <c r="Y6">
        <v>83</v>
      </c>
      <c r="Z6" s="14">
        <v>91</v>
      </c>
      <c r="AA6">
        <v>69</v>
      </c>
      <c r="AB6">
        <v>77</v>
      </c>
      <c r="AC6">
        <v>93</v>
      </c>
      <c r="AD6">
        <v>73</v>
      </c>
      <c r="AE6">
        <v>88</v>
      </c>
      <c r="AF6">
        <v>60</v>
      </c>
      <c r="AG6">
        <v>98</v>
      </c>
    </row>
    <row r="7" spans="1:33" x14ac:dyDescent="0.25">
      <c r="A7" t="s">
        <v>74</v>
      </c>
      <c r="B7">
        <v>38</v>
      </c>
      <c r="C7">
        <v>53</v>
      </c>
      <c r="D7">
        <v>64</v>
      </c>
      <c r="E7">
        <v>65</v>
      </c>
      <c r="F7">
        <v>69</v>
      </c>
      <c r="G7">
        <v>64</v>
      </c>
      <c r="H7">
        <v>63</v>
      </c>
      <c r="I7">
        <v>54</v>
      </c>
      <c r="J7" s="14">
        <v>12</v>
      </c>
      <c r="K7">
        <v>29</v>
      </c>
      <c r="L7">
        <v>22</v>
      </c>
      <c r="M7">
        <v>45</v>
      </c>
      <c r="N7">
        <v>66</v>
      </c>
      <c r="O7">
        <v>40</v>
      </c>
      <c r="P7">
        <v>37</v>
      </c>
      <c r="Q7">
        <v>45</v>
      </c>
      <c r="R7" s="14">
        <v>78</v>
      </c>
      <c r="S7">
        <v>88</v>
      </c>
      <c r="T7">
        <v>87</v>
      </c>
      <c r="U7">
        <v>64</v>
      </c>
      <c r="V7">
        <v>71</v>
      </c>
      <c r="W7">
        <v>66</v>
      </c>
      <c r="X7">
        <v>76</v>
      </c>
      <c r="Y7">
        <v>75</v>
      </c>
      <c r="Z7" s="14">
        <v>82</v>
      </c>
      <c r="AA7">
        <v>51</v>
      </c>
      <c r="AB7">
        <v>68</v>
      </c>
      <c r="AC7">
        <v>67</v>
      </c>
      <c r="AD7">
        <v>85</v>
      </c>
      <c r="AE7">
        <v>62</v>
      </c>
      <c r="AF7">
        <v>64</v>
      </c>
      <c r="AG7">
        <v>68</v>
      </c>
    </row>
    <row r="8" spans="1:33" x14ac:dyDescent="0.25">
      <c r="A8" t="s">
        <v>79</v>
      </c>
      <c r="B8">
        <v>89</v>
      </c>
      <c r="C8">
        <v>62</v>
      </c>
      <c r="D8">
        <v>78</v>
      </c>
      <c r="E8">
        <v>73</v>
      </c>
      <c r="F8">
        <v>88</v>
      </c>
      <c r="G8">
        <v>77</v>
      </c>
      <c r="H8">
        <v>97</v>
      </c>
      <c r="I8">
        <v>83</v>
      </c>
      <c r="J8" s="14">
        <v>9</v>
      </c>
      <c r="K8">
        <v>22</v>
      </c>
      <c r="L8">
        <v>37</v>
      </c>
      <c r="M8">
        <v>55</v>
      </c>
      <c r="N8">
        <v>20</v>
      </c>
      <c r="O8">
        <v>36</v>
      </c>
      <c r="P8">
        <v>34</v>
      </c>
      <c r="Q8">
        <v>12</v>
      </c>
      <c r="R8" s="14">
        <v>85</v>
      </c>
      <c r="S8">
        <v>81</v>
      </c>
      <c r="T8">
        <v>93</v>
      </c>
      <c r="U8">
        <v>96</v>
      </c>
      <c r="V8">
        <v>88</v>
      </c>
      <c r="W8">
        <v>71</v>
      </c>
      <c r="X8">
        <v>91</v>
      </c>
      <c r="Y8">
        <v>93</v>
      </c>
      <c r="Z8" s="14">
        <v>86</v>
      </c>
      <c r="AA8">
        <v>98</v>
      </c>
      <c r="AB8">
        <v>97</v>
      </c>
      <c r="AC8">
        <v>90</v>
      </c>
      <c r="AD8">
        <v>85</v>
      </c>
      <c r="AE8">
        <v>96</v>
      </c>
      <c r="AF8">
        <v>98</v>
      </c>
      <c r="AG8">
        <v>83</v>
      </c>
    </row>
    <row r="9" spans="1:33" x14ac:dyDescent="0.25">
      <c r="A9" t="s">
        <v>80</v>
      </c>
      <c r="B9">
        <v>54</v>
      </c>
      <c r="C9">
        <v>25</v>
      </c>
      <c r="D9">
        <v>68</v>
      </c>
      <c r="E9">
        <v>60</v>
      </c>
      <c r="F9">
        <v>70</v>
      </c>
      <c r="G9">
        <v>79</v>
      </c>
      <c r="H9">
        <v>83</v>
      </c>
      <c r="I9">
        <v>62</v>
      </c>
      <c r="J9" s="14">
        <v>60</v>
      </c>
      <c r="K9">
        <v>27</v>
      </c>
      <c r="L9">
        <v>58</v>
      </c>
      <c r="M9">
        <v>45</v>
      </c>
      <c r="N9">
        <v>82</v>
      </c>
      <c r="O9">
        <v>56</v>
      </c>
      <c r="P9">
        <v>36</v>
      </c>
      <c r="Q9">
        <v>63</v>
      </c>
      <c r="R9" s="14">
        <v>99</v>
      </c>
      <c r="S9">
        <v>75</v>
      </c>
      <c r="T9">
        <v>91</v>
      </c>
      <c r="U9" s="7"/>
      <c r="V9">
        <v>83</v>
      </c>
      <c r="W9">
        <v>92</v>
      </c>
      <c r="X9">
        <v>57</v>
      </c>
      <c r="Y9">
        <v>69</v>
      </c>
      <c r="Z9" s="14">
        <v>66</v>
      </c>
      <c r="AA9">
        <v>61</v>
      </c>
      <c r="AB9">
        <v>71</v>
      </c>
      <c r="AC9">
        <v>68</v>
      </c>
      <c r="AD9">
        <v>71</v>
      </c>
      <c r="AE9">
        <v>92</v>
      </c>
      <c r="AF9">
        <v>55</v>
      </c>
      <c r="AG9">
        <v>81</v>
      </c>
    </row>
    <row r="10" spans="1:33" x14ac:dyDescent="0.25">
      <c r="A10" t="s">
        <v>86</v>
      </c>
      <c r="B10">
        <v>53</v>
      </c>
      <c r="C10">
        <v>45</v>
      </c>
      <c r="D10">
        <v>39</v>
      </c>
      <c r="E10">
        <v>64</v>
      </c>
      <c r="F10">
        <v>38</v>
      </c>
      <c r="G10">
        <v>75</v>
      </c>
      <c r="H10">
        <v>64</v>
      </c>
      <c r="I10">
        <v>55</v>
      </c>
      <c r="J10" s="14">
        <v>3</v>
      </c>
      <c r="K10">
        <v>13</v>
      </c>
      <c r="L10">
        <v>9</v>
      </c>
      <c r="M10">
        <v>36</v>
      </c>
      <c r="N10">
        <v>70</v>
      </c>
      <c r="O10">
        <v>5</v>
      </c>
      <c r="P10">
        <v>73</v>
      </c>
      <c r="Q10">
        <v>25</v>
      </c>
      <c r="R10" s="14">
        <v>67</v>
      </c>
      <c r="S10">
        <v>75</v>
      </c>
      <c r="T10">
        <v>70</v>
      </c>
      <c r="U10">
        <v>52</v>
      </c>
      <c r="V10">
        <v>60</v>
      </c>
      <c r="W10">
        <v>69</v>
      </c>
      <c r="X10">
        <v>61</v>
      </c>
      <c r="Y10">
        <v>35</v>
      </c>
      <c r="Z10" s="14">
        <v>66</v>
      </c>
      <c r="AA10">
        <v>71</v>
      </c>
      <c r="AB10">
        <v>51</v>
      </c>
      <c r="AC10">
        <v>69</v>
      </c>
      <c r="AD10">
        <v>71</v>
      </c>
      <c r="AE10">
        <v>66</v>
      </c>
      <c r="AF10">
        <v>70</v>
      </c>
      <c r="AG10">
        <v>83</v>
      </c>
    </row>
    <row r="11" spans="1:33" x14ac:dyDescent="0.25">
      <c r="A11" t="s">
        <v>92</v>
      </c>
      <c r="B11">
        <v>62</v>
      </c>
      <c r="C11">
        <v>34</v>
      </c>
      <c r="D11">
        <v>37</v>
      </c>
      <c r="E11">
        <v>71</v>
      </c>
      <c r="F11">
        <v>28</v>
      </c>
      <c r="G11">
        <v>53</v>
      </c>
      <c r="H11">
        <v>27</v>
      </c>
      <c r="I11">
        <v>23</v>
      </c>
      <c r="J11" s="14">
        <v>10</v>
      </c>
      <c r="K11">
        <v>29</v>
      </c>
      <c r="L11">
        <v>66</v>
      </c>
      <c r="M11">
        <v>50</v>
      </c>
      <c r="N11">
        <v>27</v>
      </c>
      <c r="O11">
        <v>33</v>
      </c>
      <c r="P11">
        <v>19</v>
      </c>
      <c r="Q11">
        <v>41</v>
      </c>
      <c r="R11" s="14">
        <v>25</v>
      </c>
      <c r="S11">
        <v>69</v>
      </c>
      <c r="T11">
        <v>79</v>
      </c>
      <c r="U11">
        <v>45</v>
      </c>
      <c r="V11">
        <v>49</v>
      </c>
      <c r="W11">
        <v>57</v>
      </c>
      <c r="X11">
        <v>51</v>
      </c>
      <c r="Y11">
        <v>30</v>
      </c>
      <c r="Z11" s="14">
        <v>75</v>
      </c>
      <c r="AA11">
        <v>70</v>
      </c>
      <c r="AB11">
        <v>55</v>
      </c>
      <c r="AC11">
        <v>69</v>
      </c>
      <c r="AD11">
        <v>37</v>
      </c>
      <c r="AE11">
        <v>17</v>
      </c>
      <c r="AF11">
        <v>62</v>
      </c>
      <c r="AG11">
        <v>30</v>
      </c>
    </row>
    <row r="12" spans="1:33" x14ac:dyDescent="0.25">
      <c r="A12" t="s">
        <v>93</v>
      </c>
      <c r="B12">
        <v>60</v>
      </c>
      <c r="C12">
        <v>51</v>
      </c>
      <c r="D12">
        <v>42</v>
      </c>
      <c r="E12">
        <v>43</v>
      </c>
      <c r="F12">
        <v>66</v>
      </c>
      <c r="G12">
        <v>65</v>
      </c>
      <c r="H12">
        <v>66</v>
      </c>
      <c r="I12">
        <v>66</v>
      </c>
      <c r="J12" s="14">
        <v>22</v>
      </c>
      <c r="K12">
        <v>16</v>
      </c>
      <c r="L12">
        <v>20</v>
      </c>
      <c r="M12">
        <v>31</v>
      </c>
      <c r="N12">
        <v>12</v>
      </c>
      <c r="O12">
        <v>21</v>
      </c>
      <c r="P12">
        <v>30</v>
      </c>
      <c r="Q12">
        <v>32</v>
      </c>
      <c r="R12" s="14">
        <v>64</v>
      </c>
      <c r="S12">
        <v>78</v>
      </c>
      <c r="T12">
        <v>90</v>
      </c>
      <c r="U12">
        <v>79</v>
      </c>
      <c r="V12">
        <v>57</v>
      </c>
      <c r="W12">
        <v>62</v>
      </c>
      <c r="X12">
        <v>47</v>
      </c>
      <c r="Y12">
        <v>66</v>
      </c>
      <c r="Z12" s="14">
        <v>71</v>
      </c>
      <c r="AA12">
        <v>81</v>
      </c>
      <c r="AB12">
        <v>52</v>
      </c>
      <c r="AC12">
        <v>67</v>
      </c>
      <c r="AD12">
        <v>57</v>
      </c>
      <c r="AE12">
        <v>56</v>
      </c>
      <c r="AF12">
        <v>68</v>
      </c>
      <c r="AG12">
        <v>41</v>
      </c>
    </row>
    <row r="13" spans="1:33" x14ac:dyDescent="0.25">
      <c r="A13" t="s">
        <v>110</v>
      </c>
      <c r="B13">
        <v>21</v>
      </c>
      <c r="C13">
        <v>49</v>
      </c>
      <c r="D13">
        <v>20</v>
      </c>
      <c r="E13">
        <v>49</v>
      </c>
      <c r="F13">
        <v>64</v>
      </c>
      <c r="G13">
        <v>67</v>
      </c>
      <c r="H13">
        <v>66</v>
      </c>
      <c r="I13">
        <v>73</v>
      </c>
      <c r="J13" s="14">
        <v>3</v>
      </c>
      <c r="K13">
        <v>1</v>
      </c>
      <c r="L13">
        <v>4</v>
      </c>
      <c r="M13">
        <v>4</v>
      </c>
      <c r="N13">
        <v>4</v>
      </c>
      <c r="O13">
        <v>7</v>
      </c>
      <c r="P13">
        <v>2</v>
      </c>
      <c r="Q13">
        <v>1</v>
      </c>
      <c r="R13" s="14">
        <v>75</v>
      </c>
      <c r="S13">
        <v>46</v>
      </c>
      <c r="T13">
        <v>88</v>
      </c>
      <c r="U13">
        <v>82</v>
      </c>
      <c r="V13">
        <v>77</v>
      </c>
      <c r="W13">
        <v>96</v>
      </c>
      <c r="X13">
        <v>78</v>
      </c>
      <c r="Y13">
        <v>98</v>
      </c>
      <c r="Z13" s="14">
        <v>88</v>
      </c>
      <c r="AA13">
        <v>97</v>
      </c>
      <c r="AB13">
        <v>93</v>
      </c>
      <c r="AC13">
        <v>100</v>
      </c>
      <c r="AD13">
        <v>94</v>
      </c>
      <c r="AE13">
        <v>85</v>
      </c>
      <c r="AF13">
        <v>57</v>
      </c>
      <c r="AG13">
        <v>81</v>
      </c>
    </row>
    <row r="14" spans="1:33" x14ac:dyDescent="0.25">
      <c r="A14" t="s">
        <v>120</v>
      </c>
      <c r="B14">
        <v>57</v>
      </c>
      <c r="C14">
        <v>57</v>
      </c>
      <c r="D14">
        <v>67</v>
      </c>
      <c r="E14">
        <v>69</v>
      </c>
      <c r="F14">
        <v>62</v>
      </c>
      <c r="G14">
        <v>72</v>
      </c>
      <c r="H14">
        <v>86</v>
      </c>
      <c r="I14">
        <v>77</v>
      </c>
      <c r="J14" s="14">
        <v>17</v>
      </c>
      <c r="K14">
        <v>24</v>
      </c>
      <c r="L14">
        <v>17</v>
      </c>
      <c r="M14">
        <v>19</v>
      </c>
      <c r="N14">
        <v>21</v>
      </c>
      <c r="O14">
        <v>18</v>
      </c>
      <c r="P14">
        <v>7</v>
      </c>
      <c r="Q14">
        <v>24</v>
      </c>
      <c r="R14" s="14">
        <v>74</v>
      </c>
      <c r="S14">
        <v>74</v>
      </c>
      <c r="T14">
        <v>74</v>
      </c>
      <c r="U14">
        <v>79</v>
      </c>
      <c r="V14">
        <v>67</v>
      </c>
      <c r="W14">
        <v>74</v>
      </c>
      <c r="X14">
        <v>79</v>
      </c>
      <c r="Y14">
        <v>62</v>
      </c>
      <c r="Z14" s="14">
        <v>88</v>
      </c>
      <c r="AA14">
        <v>71</v>
      </c>
      <c r="AB14">
        <v>89</v>
      </c>
      <c r="AC14">
        <v>57</v>
      </c>
      <c r="AD14">
        <v>70</v>
      </c>
      <c r="AE14">
        <v>86</v>
      </c>
      <c r="AF14">
        <v>74</v>
      </c>
      <c r="AG14">
        <v>85</v>
      </c>
    </row>
    <row r="15" spans="1:33" x14ac:dyDescent="0.25">
      <c r="A15" t="s">
        <v>125</v>
      </c>
      <c r="B15">
        <v>16</v>
      </c>
      <c r="C15">
        <v>20</v>
      </c>
      <c r="D15">
        <v>34</v>
      </c>
      <c r="E15">
        <v>18</v>
      </c>
      <c r="F15">
        <v>32</v>
      </c>
      <c r="G15">
        <v>21</v>
      </c>
      <c r="H15">
        <v>17</v>
      </c>
      <c r="I15">
        <v>47</v>
      </c>
      <c r="J15" s="14">
        <v>10</v>
      </c>
      <c r="K15">
        <v>7</v>
      </c>
      <c r="L15">
        <v>31</v>
      </c>
      <c r="M15">
        <v>15</v>
      </c>
      <c r="N15">
        <v>19</v>
      </c>
      <c r="O15">
        <v>15</v>
      </c>
      <c r="P15">
        <v>8</v>
      </c>
      <c r="Q15">
        <v>35</v>
      </c>
      <c r="R15" s="14">
        <v>84</v>
      </c>
      <c r="S15">
        <v>51</v>
      </c>
      <c r="T15">
        <v>68</v>
      </c>
      <c r="U15">
        <v>40</v>
      </c>
      <c r="V15">
        <v>23</v>
      </c>
      <c r="W15">
        <v>34</v>
      </c>
      <c r="X15">
        <v>60</v>
      </c>
      <c r="Y15">
        <v>72</v>
      </c>
      <c r="Z15" s="14">
        <v>86</v>
      </c>
      <c r="AA15">
        <v>68</v>
      </c>
      <c r="AB15">
        <v>77</v>
      </c>
      <c r="AC15">
        <v>84</v>
      </c>
      <c r="AD15">
        <v>38</v>
      </c>
      <c r="AE15">
        <v>62</v>
      </c>
      <c r="AF15">
        <v>55</v>
      </c>
      <c r="AG15">
        <v>73</v>
      </c>
    </row>
    <row r="16" spans="1:33" x14ac:dyDescent="0.25">
      <c r="A16" t="s">
        <v>130</v>
      </c>
      <c r="B16">
        <v>44</v>
      </c>
      <c r="C16">
        <v>36</v>
      </c>
      <c r="D16">
        <v>49</v>
      </c>
      <c r="E16">
        <v>46</v>
      </c>
      <c r="F16">
        <v>41</v>
      </c>
      <c r="G16">
        <v>47</v>
      </c>
      <c r="H16">
        <v>34</v>
      </c>
      <c r="I16">
        <v>39</v>
      </c>
      <c r="J16" s="14">
        <v>4</v>
      </c>
      <c r="K16">
        <v>32</v>
      </c>
      <c r="L16">
        <v>53</v>
      </c>
      <c r="M16">
        <v>36</v>
      </c>
      <c r="N16">
        <v>27</v>
      </c>
      <c r="O16">
        <v>15</v>
      </c>
      <c r="P16">
        <v>23</v>
      </c>
      <c r="Q16">
        <v>11</v>
      </c>
      <c r="R16" s="14">
        <v>39</v>
      </c>
      <c r="S16">
        <v>47</v>
      </c>
      <c r="T16">
        <v>48</v>
      </c>
      <c r="U16">
        <v>57</v>
      </c>
      <c r="V16">
        <v>74</v>
      </c>
      <c r="W16">
        <v>51</v>
      </c>
      <c r="X16">
        <v>59</v>
      </c>
      <c r="Y16">
        <v>67</v>
      </c>
      <c r="Z16" s="14">
        <v>72</v>
      </c>
      <c r="AA16">
        <v>72</v>
      </c>
      <c r="AB16">
        <v>48</v>
      </c>
      <c r="AC16">
        <v>66</v>
      </c>
      <c r="AD16">
        <v>61</v>
      </c>
      <c r="AE16">
        <v>71</v>
      </c>
      <c r="AF16">
        <v>52</v>
      </c>
      <c r="AG16">
        <v>62</v>
      </c>
    </row>
    <row r="17" spans="1:33" x14ac:dyDescent="0.25">
      <c r="A17" t="s">
        <v>145</v>
      </c>
      <c r="B17">
        <v>58</v>
      </c>
      <c r="C17">
        <v>53</v>
      </c>
      <c r="D17" s="7"/>
      <c r="E17">
        <v>55</v>
      </c>
      <c r="F17">
        <v>55</v>
      </c>
      <c r="G17">
        <v>73</v>
      </c>
      <c r="H17">
        <v>58</v>
      </c>
      <c r="I17">
        <v>56</v>
      </c>
      <c r="J17" s="14">
        <v>19</v>
      </c>
      <c r="K17">
        <v>45</v>
      </c>
      <c r="L17" s="7"/>
      <c r="M17">
        <v>26</v>
      </c>
      <c r="N17">
        <v>46</v>
      </c>
      <c r="O17">
        <v>43</v>
      </c>
      <c r="P17">
        <v>44</v>
      </c>
      <c r="Q17" s="7"/>
      <c r="R17" s="14">
        <v>61</v>
      </c>
      <c r="S17">
        <v>74</v>
      </c>
      <c r="T17">
        <v>68</v>
      </c>
      <c r="U17">
        <v>69</v>
      </c>
      <c r="V17">
        <v>66</v>
      </c>
      <c r="W17">
        <v>82</v>
      </c>
      <c r="X17">
        <v>38</v>
      </c>
      <c r="Y17" s="7"/>
      <c r="Z17" s="14">
        <v>65</v>
      </c>
      <c r="AA17">
        <v>82</v>
      </c>
      <c r="AB17">
        <v>52</v>
      </c>
      <c r="AC17">
        <v>67</v>
      </c>
      <c r="AD17">
        <v>79</v>
      </c>
      <c r="AE17">
        <v>69</v>
      </c>
      <c r="AF17">
        <v>78</v>
      </c>
      <c r="AG17" s="7"/>
    </row>
    <row r="18" spans="1:33" x14ac:dyDescent="0.25">
      <c r="A18" t="s">
        <v>144</v>
      </c>
      <c r="B18">
        <v>63</v>
      </c>
      <c r="C18">
        <v>67</v>
      </c>
      <c r="D18">
        <v>65</v>
      </c>
      <c r="E18">
        <v>58</v>
      </c>
      <c r="F18">
        <v>58</v>
      </c>
      <c r="G18">
        <v>66</v>
      </c>
      <c r="H18">
        <v>77</v>
      </c>
      <c r="I18">
        <v>77</v>
      </c>
      <c r="J18" s="14">
        <v>57</v>
      </c>
      <c r="K18">
        <v>52</v>
      </c>
      <c r="L18">
        <v>51</v>
      </c>
      <c r="M18">
        <v>30</v>
      </c>
      <c r="N18">
        <v>56</v>
      </c>
      <c r="O18">
        <v>39</v>
      </c>
      <c r="P18">
        <v>56</v>
      </c>
      <c r="Q18">
        <v>68</v>
      </c>
      <c r="R18" s="14">
        <v>61</v>
      </c>
      <c r="S18">
        <v>68</v>
      </c>
      <c r="T18">
        <v>76</v>
      </c>
      <c r="U18">
        <v>65</v>
      </c>
      <c r="V18">
        <v>58</v>
      </c>
      <c r="W18">
        <v>86</v>
      </c>
      <c r="X18">
        <v>74</v>
      </c>
      <c r="Y18">
        <v>65</v>
      </c>
      <c r="Z18" s="14">
        <v>60</v>
      </c>
      <c r="AA18">
        <v>78</v>
      </c>
      <c r="AB18">
        <v>75</v>
      </c>
      <c r="AC18">
        <v>73</v>
      </c>
      <c r="AD18">
        <v>76</v>
      </c>
      <c r="AE18">
        <v>74</v>
      </c>
      <c r="AF18">
        <v>89</v>
      </c>
      <c r="AG18">
        <v>71</v>
      </c>
    </row>
    <row r="19" spans="1:33" x14ac:dyDescent="0.25">
      <c r="A19" t="s">
        <v>132</v>
      </c>
      <c r="B19">
        <v>67</v>
      </c>
      <c r="C19">
        <v>67</v>
      </c>
      <c r="D19">
        <v>59</v>
      </c>
      <c r="E19">
        <v>77</v>
      </c>
      <c r="F19">
        <v>68</v>
      </c>
      <c r="G19">
        <v>68</v>
      </c>
      <c r="H19">
        <v>67</v>
      </c>
      <c r="I19">
        <v>67</v>
      </c>
      <c r="J19" s="14">
        <v>32</v>
      </c>
      <c r="K19">
        <v>50</v>
      </c>
      <c r="L19">
        <v>50</v>
      </c>
      <c r="M19">
        <v>47</v>
      </c>
      <c r="N19">
        <v>59</v>
      </c>
      <c r="O19">
        <v>60</v>
      </c>
      <c r="P19">
        <v>57</v>
      </c>
      <c r="Q19">
        <v>54</v>
      </c>
      <c r="R19" s="14">
        <v>69</v>
      </c>
      <c r="S19">
        <v>69</v>
      </c>
      <c r="T19">
        <v>65</v>
      </c>
      <c r="U19">
        <v>83</v>
      </c>
      <c r="V19">
        <v>65</v>
      </c>
      <c r="W19">
        <v>61</v>
      </c>
      <c r="X19">
        <v>60</v>
      </c>
      <c r="Y19">
        <v>69</v>
      </c>
      <c r="Z19" s="14">
        <v>68</v>
      </c>
      <c r="AA19">
        <v>66</v>
      </c>
      <c r="AB19">
        <v>60</v>
      </c>
      <c r="AC19">
        <v>82</v>
      </c>
      <c r="AD19">
        <v>75</v>
      </c>
      <c r="AE19">
        <v>66</v>
      </c>
      <c r="AF19">
        <v>63</v>
      </c>
      <c r="AG19">
        <v>69</v>
      </c>
    </row>
    <row r="20" spans="1:33" x14ac:dyDescent="0.25">
      <c r="A20" t="s">
        <v>146</v>
      </c>
      <c r="B20">
        <v>4</v>
      </c>
      <c r="C20">
        <v>27</v>
      </c>
      <c r="D20">
        <v>35</v>
      </c>
      <c r="E20">
        <v>20</v>
      </c>
      <c r="F20">
        <v>18</v>
      </c>
      <c r="G20">
        <v>23</v>
      </c>
      <c r="H20">
        <v>29</v>
      </c>
      <c r="I20">
        <v>30</v>
      </c>
      <c r="J20" s="14">
        <v>0</v>
      </c>
      <c r="K20">
        <v>5</v>
      </c>
      <c r="L20">
        <v>8</v>
      </c>
      <c r="M20">
        <v>3</v>
      </c>
      <c r="N20">
        <v>3</v>
      </c>
      <c r="O20">
        <v>6</v>
      </c>
      <c r="P20">
        <v>19</v>
      </c>
      <c r="Q20">
        <v>15</v>
      </c>
      <c r="R20" s="14">
        <v>50</v>
      </c>
      <c r="S20">
        <v>51</v>
      </c>
      <c r="T20">
        <v>76</v>
      </c>
      <c r="U20">
        <v>50</v>
      </c>
      <c r="V20">
        <v>44</v>
      </c>
      <c r="W20">
        <v>46</v>
      </c>
      <c r="X20" s="7"/>
      <c r="Y20">
        <v>48</v>
      </c>
      <c r="Z20" s="14">
        <v>69</v>
      </c>
      <c r="AA20">
        <v>79</v>
      </c>
      <c r="AB20" s="5"/>
      <c r="AC20">
        <v>65</v>
      </c>
      <c r="AD20">
        <v>45</v>
      </c>
      <c r="AE20">
        <v>47</v>
      </c>
      <c r="AF20" s="7"/>
      <c r="AG20">
        <v>62</v>
      </c>
    </row>
    <row r="21" spans="1:33" x14ac:dyDescent="0.25">
      <c r="A21" t="s">
        <v>147</v>
      </c>
      <c r="B21">
        <v>70</v>
      </c>
      <c r="C21">
        <v>52</v>
      </c>
      <c r="D21">
        <v>69</v>
      </c>
      <c r="E21">
        <v>32</v>
      </c>
      <c r="F21">
        <v>48</v>
      </c>
      <c r="G21">
        <v>71</v>
      </c>
      <c r="H21">
        <v>57</v>
      </c>
      <c r="I21">
        <v>55</v>
      </c>
      <c r="J21" s="14">
        <v>28</v>
      </c>
      <c r="K21">
        <v>24</v>
      </c>
      <c r="L21" s="7"/>
      <c r="M21">
        <v>8</v>
      </c>
      <c r="N21">
        <v>45</v>
      </c>
      <c r="O21">
        <v>19</v>
      </c>
      <c r="P21">
        <v>37</v>
      </c>
      <c r="Q21">
        <v>4</v>
      </c>
      <c r="R21" s="14">
        <v>63</v>
      </c>
      <c r="S21">
        <v>46</v>
      </c>
      <c r="T21" s="7"/>
      <c r="U21">
        <v>28</v>
      </c>
      <c r="V21">
        <v>94</v>
      </c>
      <c r="W21">
        <v>93</v>
      </c>
      <c r="X21">
        <v>81</v>
      </c>
      <c r="Y21">
        <v>86</v>
      </c>
      <c r="Z21" s="14">
        <v>90</v>
      </c>
      <c r="AA21">
        <v>98</v>
      </c>
      <c r="AB21">
        <v>95</v>
      </c>
      <c r="AC21">
        <v>48</v>
      </c>
      <c r="AD21">
        <v>35</v>
      </c>
      <c r="AE21">
        <v>85</v>
      </c>
      <c r="AF21" s="7"/>
      <c r="AG21">
        <v>69</v>
      </c>
    </row>
    <row r="22" spans="1:33" x14ac:dyDescent="0.25">
      <c r="A22" t="s">
        <v>155</v>
      </c>
      <c r="B22">
        <v>18</v>
      </c>
      <c r="C22">
        <v>23</v>
      </c>
      <c r="D22">
        <v>68</v>
      </c>
      <c r="E22">
        <v>33</v>
      </c>
      <c r="F22">
        <v>60</v>
      </c>
      <c r="G22">
        <v>69</v>
      </c>
      <c r="H22">
        <v>41</v>
      </c>
      <c r="I22">
        <v>69</v>
      </c>
      <c r="J22" s="14">
        <v>31</v>
      </c>
      <c r="K22">
        <v>73</v>
      </c>
      <c r="L22">
        <v>56</v>
      </c>
      <c r="M22">
        <v>40</v>
      </c>
      <c r="N22">
        <v>2</v>
      </c>
      <c r="O22">
        <v>16</v>
      </c>
      <c r="P22">
        <v>1</v>
      </c>
      <c r="Q22">
        <v>26</v>
      </c>
      <c r="R22" s="14">
        <v>32</v>
      </c>
      <c r="S22">
        <v>53</v>
      </c>
      <c r="T22">
        <v>59</v>
      </c>
      <c r="U22">
        <v>68</v>
      </c>
      <c r="V22">
        <v>70</v>
      </c>
      <c r="W22">
        <v>71</v>
      </c>
      <c r="X22">
        <v>81</v>
      </c>
      <c r="Y22">
        <v>60</v>
      </c>
      <c r="Z22" s="14">
        <v>49</v>
      </c>
      <c r="AA22">
        <v>31</v>
      </c>
      <c r="AB22">
        <v>14</v>
      </c>
      <c r="AC22">
        <v>93</v>
      </c>
      <c r="AD22">
        <v>44</v>
      </c>
      <c r="AE22">
        <v>60</v>
      </c>
      <c r="AF22">
        <v>97</v>
      </c>
      <c r="AG22">
        <v>49</v>
      </c>
    </row>
    <row r="23" spans="1:33" x14ac:dyDescent="0.25">
      <c r="A23" t="s">
        <v>158</v>
      </c>
      <c r="B23">
        <v>46</v>
      </c>
      <c r="C23">
        <v>51</v>
      </c>
      <c r="D23">
        <v>45</v>
      </c>
      <c r="E23">
        <v>52</v>
      </c>
      <c r="F23">
        <v>19</v>
      </c>
      <c r="G23">
        <v>26</v>
      </c>
      <c r="H23">
        <v>42</v>
      </c>
      <c r="I23">
        <v>16</v>
      </c>
      <c r="J23" s="14">
        <v>4</v>
      </c>
      <c r="K23">
        <v>19</v>
      </c>
      <c r="L23" s="7"/>
      <c r="M23">
        <v>3</v>
      </c>
      <c r="N23">
        <v>4</v>
      </c>
      <c r="O23">
        <v>2</v>
      </c>
      <c r="P23">
        <v>4</v>
      </c>
      <c r="Q23">
        <v>3</v>
      </c>
      <c r="R23" s="14">
        <v>49</v>
      </c>
      <c r="S23">
        <v>47</v>
      </c>
      <c r="T23">
        <v>20</v>
      </c>
      <c r="U23">
        <v>43</v>
      </c>
      <c r="V23" s="7"/>
      <c r="W23">
        <v>78</v>
      </c>
      <c r="X23">
        <v>48</v>
      </c>
      <c r="Y23">
        <v>22</v>
      </c>
      <c r="Z23" s="18"/>
      <c r="AA23">
        <v>62</v>
      </c>
      <c r="AB23">
        <v>51</v>
      </c>
      <c r="AC23" s="7"/>
      <c r="AD23" s="7"/>
      <c r="AE23" s="7"/>
      <c r="AF23">
        <v>56</v>
      </c>
      <c r="AG23">
        <v>72</v>
      </c>
    </row>
    <row r="24" spans="1:33" x14ac:dyDescent="0.25">
      <c r="A24" t="s">
        <v>162</v>
      </c>
      <c r="B24">
        <v>40</v>
      </c>
      <c r="C24">
        <v>37</v>
      </c>
      <c r="D24">
        <v>68</v>
      </c>
      <c r="E24">
        <v>26</v>
      </c>
      <c r="F24">
        <v>26</v>
      </c>
      <c r="G24">
        <v>14</v>
      </c>
      <c r="H24">
        <v>10</v>
      </c>
      <c r="I24">
        <v>29</v>
      </c>
      <c r="J24" s="14">
        <v>13</v>
      </c>
      <c r="K24">
        <v>20</v>
      </c>
      <c r="L24">
        <v>12</v>
      </c>
      <c r="M24">
        <v>14</v>
      </c>
      <c r="N24">
        <v>10</v>
      </c>
      <c r="O24">
        <v>11</v>
      </c>
      <c r="P24">
        <v>4</v>
      </c>
      <c r="Q24">
        <v>11</v>
      </c>
      <c r="R24" s="14">
        <v>32</v>
      </c>
      <c r="S24">
        <v>32</v>
      </c>
      <c r="T24">
        <v>61</v>
      </c>
      <c r="U24">
        <v>30</v>
      </c>
      <c r="V24">
        <v>15</v>
      </c>
      <c r="W24">
        <v>18</v>
      </c>
      <c r="X24">
        <v>47</v>
      </c>
      <c r="Y24">
        <v>23</v>
      </c>
      <c r="Z24" s="14">
        <v>58</v>
      </c>
      <c r="AA24">
        <v>52</v>
      </c>
      <c r="AB24">
        <v>61</v>
      </c>
      <c r="AC24">
        <v>36</v>
      </c>
      <c r="AD24">
        <v>12</v>
      </c>
      <c r="AE24">
        <v>10</v>
      </c>
      <c r="AF24">
        <v>32</v>
      </c>
      <c r="AG24">
        <v>85</v>
      </c>
    </row>
    <row r="25" spans="1:33" x14ac:dyDescent="0.25">
      <c r="A25" t="s">
        <v>160</v>
      </c>
      <c r="B25">
        <v>39</v>
      </c>
      <c r="C25">
        <v>29</v>
      </c>
      <c r="D25">
        <v>21</v>
      </c>
      <c r="E25">
        <v>18</v>
      </c>
      <c r="F25">
        <v>17</v>
      </c>
      <c r="G25">
        <v>13</v>
      </c>
      <c r="H25">
        <v>10</v>
      </c>
      <c r="I25">
        <v>16</v>
      </c>
      <c r="J25" s="14">
        <v>57</v>
      </c>
      <c r="K25">
        <v>22</v>
      </c>
      <c r="L25">
        <v>25</v>
      </c>
      <c r="M25">
        <v>12</v>
      </c>
      <c r="N25">
        <v>14</v>
      </c>
      <c r="O25">
        <v>12</v>
      </c>
      <c r="P25">
        <v>8</v>
      </c>
      <c r="Q25">
        <v>12</v>
      </c>
      <c r="R25" s="14">
        <v>66</v>
      </c>
      <c r="S25">
        <v>53</v>
      </c>
      <c r="T25">
        <v>10</v>
      </c>
      <c r="U25">
        <v>55</v>
      </c>
      <c r="V25">
        <v>30</v>
      </c>
      <c r="W25">
        <v>42</v>
      </c>
      <c r="X25">
        <v>29</v>
      </c>
      <c r="Y25">
        <v>28</v>
      </c>
      <c r="Z25" s="14">
        <v>42</v>
      </c>
      <c r="AA25">
        <v>32</v>
      </c>
      <c r="AB25">
        <v>28</v>
      </c>
      <c r="AC25">
        <v>48</v>
      </c>
      <c r="AD25">
        <v>56</v>
      </c>
      <c r="AE25">
        <v>12</v>
      </c>
      <c r="AF25">
        <v>19</v>
      </c>
      <c r="AG25">
        <v>48</v>
      </c>
    </row>
    <row r="26" spans="1:33" x14ac:dyDescent="0.25">
      <c r="A26" t="s">
        <v>173</v>
      </c>
      <c r="B26">
        <v>51</v>
      </c>
      <c r="C26">
        <v>53</v>
      </c>
      <c r="D26">
        <v>52</v>
      </c>
      <c r="E26">
        <v>66</v>
      </c>
      <c r="F26">
        <v>64</v>
      </c>
      <c r="G26">
        <v>65</v>
      </c>
      <c r="H26">
        <v>72</v>
      </c>
      <c r="I26">
        <v>65</v>
      </c>
      <c r="J26" s="14">
        <v>32</v>
      </c>
      <c r="K26">
        <v>54</v>
      </c>
      <c r="L26">
        <v>59</v>
      </c>
      <c r="M26">
        <v>17</v>
      </c>
      <c r="N26">
        <v>51</v>
      </c>
      <c r="O26">
        <v>40</v>
      </c>
      <c r="P26">
        <v>27</v>
      </c>
      <c r="Q26">
        <v>41</v>
      </c>
      <c r="R26" s="14">
        <v>64</v>
      </c>
      <c r="S26">
        <v>70</v>
      </c>
      <c r="T26">
        <v>68</v>
      </c>
      <c r="U26">
        <v>86</v>
      </c>
      <c r="V26">
        <v>64</v>
      </c>
      <c r="W26">
        <v>68</v>
      </c>
      <c r="X26">
        <v>62</v>
      </c>
      <c r="Y26">
        <v>59</v>
      </c>
      <c r="Z26" s="14">
        <v>67</v>
      </c>
      <c r="AA26">
        <v>70</v>
      </c>
      <c r="AB26">
        <v>69</v>
      </c>
      <c r="AC26">
        <v>81</v>
      </c>
      <c r="AD26">
        <v>63</v>
      </c>
      <c r="AE26">
        <v>67</v>
      </c>
      <c r="AF26">
        <v>62</v>
      </c>
      <c r="AG26">
        <v>65</v>
      </c>
    </row>
    <row r="27" spans="1:33" x14ac:dyDescent="0.25">
      <c r="A27" t="s">
        <v>174</v>
      </c>
      <c r="B27">
        <v>58</v>
      </c>
      <c r="C27">
        <v>60</v>
      </c>
      <c r="D27">
        <v>53</v>
      </c>
      <c r="E27">
        <v>49</v>
      </c>
      <c r="F27">
        <v>64</v>
      </c>
      <c r="G27">
        <v>47</v>
      </c>
      <c r="H27">
        <v>52</v>
      </c>
      <c r="I27">
        <v>52</v>
      </c>
      <c r="J27" s="14">
        <v>23</v>
      </c>
      <c r="K27">
        <v>6</v>
      </c>
      <c r="L27">
        <v>15</v>
      </c>
      <c r="M27">
        <v>29</v>
      </c>
      <c r="N27">
        <v>21</v>
      </c>
      <c r="O27">
        <v>26</v>
      </c>
      <c r="P27">
        <v>15</v>
      </c>
      <c r="Q27">
        <v>24</v>
      </c>
      <c r="R27" s="14">
        <v>48</v>
      </c>
      <c r="S27">
        <v>63</v>
      </c>
      <c r="T27">
        <v>70</v>
      </c>
      <c r="U27">
        <v>59</v>
      </c>
      <c r="V27">
        <v>66</v>
      </c>
      <c r="W27">
        <v>56</v>
      </c>
      <c r="X27">
        <v>55</v>
      </c>
      <c r="Y27">
        <v>56</v>
      </c>
      <c r="Z27" s="14">
        <v>59</v>
      </c>
      <c r="AA27">
        <v>59</v>
      </c>
      <c r="AB27">
        <v>56</v>
      </c>
      <c r="AC27">
        <v>53</v>
      </c>
      <c r="AD27">
        <v>51</v>
      </c>
      <c r="AE27">
        <v>63</v>
      </c>
      <c r="AF27">
        <v>69</v>
      </c>
      <c r="AG27">
        <v>53</v>
      </c>
    </row>
    <row r="28" spans="1:33" x14ac:dyDescent="0.25">
      <c r="A28" t="s">
        <v>175</v>
      </c>
      <c r="B28">
        <v>42</v>
      </c>
      <c r="C28">
        <v>43</v>
      </c>
      <c r="D28">
        <v>49</v>
      </c>
      <c r="E28">
        <v>37</v>
      </c>
      <c r="F28">
        <v>38</v>
      </c>
      <c r="G28">
        <v>48</v>
      </c>
      <c r="H28">
        <v>37</v>
      </c>
      <c r="I28">
        <v>45</v>
      </c>
      <c r="J28" s="14">
        <v>39</v>
      </c>
      <c r="K28">
        <v>31</v>
      </c>
      <c r="L28">
        <v>24</v>
      </c>
      <c r="M28">
        <v>23</v>
      </c>
      <c r="N28">
        <v>47</v>
      </c>
      <c r="O28">
        <v>30</v>
      </c>
      <c r="P28">
        <v>28</v>
      </c>
      <c r="Q28">
        <v>11</v>
      </c>
      <c r="R28" s="14">
        <v>60</v>
      </c>
      <c r="S28">
        <v>63</v>
      </c>
      <c r="T28">
        <v>55</v>
      </c>
      <c r="U28">
        <v>64</v>
      </c>
      <c r="V28">
        <v>62</v>
      </c>
      <c r="W28">
        <v>46</v>
      </c>
      <c r="X28">
        <v>65</v>
      </c>
      <c r="Y28">
        <v>57</v>
      </c>
      <c r="Z28" s="14">
        <v>67</v>
      </c>
      <c r="AA28">
        <v>37</v>
      </c>
      <c r="AB28">
        <v>55</v>
      </c>
      <c r="AC28">
        <v>67</v>
      </c>
      <c r="AD28">
        <v>64</v>
      </c>
      <c r="AE28">
        <v>63</v>
      </c>
      <c r="AF28">
        <v>61</v>
      </c>
      <c r="AG28">
        <v>79</v>
      </c>
    </row>
    <row r="29" spans="1:33" x14ac:dyDescent="0.25">
      <c r="A29" t="s">
        <v>187</v>
      </c>
      <c r="B29">
        <v>43</v>
      </c>
      <c r="C29">
        <v>48</v>
      </c>
      <c r="D29">
        <v>50</v>
      </c>
      <c r="E29">
        <v>44</v>
      </c>
      <c r="F29">
        <v>42</v>
      </c>
      <c r="G29">
        <v>37</v>
      </c>
      <c r="H29">
        <v>40</v>
      </c>
      <c r="I29">
        <v>43</v>
      </c>
      <c r="J29" s="14">
        <v>33</v>
      </c>
      <c r="K29">
        <v>32</v>
      </c>
      <c r="L29">
        <v>44</v>
      </c>
      <c r="M29">
        <v>37</v>
      </c>
      <c r="N29">
        <v>39</v>
      </c>
      <c r="O29">
        <v>42</v>
      </c>
      <c r="P29">
        <v>30</v>
      </c>
      <c r="Q29">
        <v>37</v>
      </c>
      <c r="R29" s="14">
        <v>42</v>
      </c>
      <c r="S29">
        <v>54</v>
      </c>
      <c r="T29">
        <v>50</v>
      </c>
      <c r="U29">
        <v>49</v>
      </c>
      <c r="V29">
        <v>51</v>
      </c>
      <c r="W29">
        <v>47</v>
      </c>
      <c r="X29">
        <v>40</v>
      </c>
      <c r="Y29">
        <v>51</v>
      </c>
      <c r="Z29" s="14">
        <v>36</v>
      </c>
      <c r="AA29">
        <v>39</v>
      </c>
      <c r="AB29">
        <v>49</v>
      </c>
      <c r="AC29">
        <v>54</v>
      </c>
      <c r="AD29">
        <v>53</v>
      </c>
      <c r="AE29">
        <v>48</v>
      </c>
      <c r="AF29">
        <v>48</v>
      </c>
      <c r="AG29">
        <v>43</v>
      </c>
    </row>
    <row r="30" spans="1:33" x14ac:dyDescent="0.25">
      <c r="A30" t="s">
        <v>186</v>
      </c>
      <c r="B30">
        <v>15</v>
      </c>
      <c r="C30">
        <v>62</v>
      </c>
      <c r="D30">
        <v>52</v>
      </c>
      <c r="E30">
        <v>44</v>
      </c>
      <c r="F30">
        <v>13</v>
      </c>
      <c r="G30">
        <v>25</v>
      </c>
      <c r="H30">
        <v>19</v>
      </c>
      <c r="I30">
        <v>28</v>
      </c>
      <c r="J30" s="14">
        <v>10</v>
      </c>
      <c r="K30">
        <v>33</v>
      </c>
      <c r="L30">
        <v>17</v>
      </c>
      <c r="M30">
        <v>23</v>
      </c>
      <c r="N30">
        <v>11</v>
      </c>
      <c r="O30">
        <v>22</v>
      </c>
      <c r="P30">
        <v>23</v>
      </c>
      <c r="Q30">
        <v>10</v>
      </c>
      <c r="R30" s="14">
        <v>50</v>
      </c>
      <c r="S30">
        <v>68</v>
      </c>
      <c r="T30">
        <v>68</v>
      </c>
      <c r="U30">
        <v>66</v>
      </c>
      <c r="V30">
        <v>56</v>
      </c>
      <c r="W30">
        <v>45</v>
      </c>
      <c r="X30">
        <v>33</v>
      </c>
      <c r="Y30">
        <v>56</v>
      </c>
      <c r="Z30" s="14">
        <v>54</v>
      </c>
      <c r="AA30">
        <v>74</v>
      </c>
      <c r="AB30">
        <v>40</v>
      </c>
      <c r="AC30">
        <v>70</v>
      </c>
      <c r="AD30">
        <v>41</v>
      </c>
      <c r="AE30">
        <v>57</v>
      </c>
      <c r="AF30">
        <v>3</v>
      </c>
      <c r="AG30">
        <v>41</v>
      </c>
    </row>
    <row r="32" spans="1:33" s="25" customFormat="1" x14ac:dyDescent="0.25">
      <c r="A32" s="25" t="s">
        <v>1</v>
      </c>
      <c r="J32" s="31"/>
      <c r="R32" s="31"/>
      <c r="Z32" s="31"/>
    </row>
    <row r="33" spans="1:33" x14ac:dyDescent="0.25">
      <c r="A33" t="s">
        <v>3</v>
      </c>
      <c r="B33">
        <v>42</v>
      </c>
      <c r="C33">
        <v>38</v>
      </c>
      <c r="D33">
        <v>47</v>
      </c>
      <c r="E33">
        <v>39</v>
      </c>
      <c r="F33">
        <v>46</v>
      </c>
      <c r="G33">
        <v>34</v>
      </c>
      <c r="H33">
        <v>42</v>
      </c>
      <c r="I33">
        <v>48</v>
      </c>
      <c r="J33" s="18"/>
      <c r="K33" s="7"/>
      <c r="L33" s="7"/>
      <c r="M33" s="7"/>
      <c r="N33" s="7"/>
      <c r="O33" s="7"/>
      <c r="P33" s="7"/>
      <c r="Q33" s="7"/>
      <c r="R33" s="14">
        <v>41</v>
      </c>
      <c r="S33">
        <v>55</v>
      </c>
      <c r="T33">
        <v>47</v>
      </c>
      <c r="U33">
        <v>51</v>
      </c>
      <c r="V33">
        <v>36</v>
      </c>
      <c r="X33">
        <v>53</v>
      </c>
      <c r="Y33">
        <v>26</v>
      </c>
      <c r="Z33" s="14">
        <v>48</v>
      </c>
      <c r="AA33">
        <v>51</v>
      </c>
      <c r="AB33">
        <v>69</v>
      </c>
      <c r="AC33">
        <v>40</v>
      </c>
      <c r="AD33">
        <v>46</v>
      </c>
      <c r="AE33">
        <v>43</v>
      </c>
      <c r="AF33">
        <v>60</v>
      </c>
      <c r="AG33">
        <v>44</v>
      </c>
    </row>
    <row r="34" spans="1:33" x14ac:dyDescent="0.25">
      <c r="A34" t="s">
        <v>13</v>
      </c>
      <c r="B34">
        <v>44</v>
      </c>
      <c r="C34">
        <v>36</v>
      </c>
      <c r="D34">
        <v>50</v>
      </c>
      <c r="E34">
        <v>53</v>
      </c>
      <c r="F34">
        <v>46</v>
      </c>
      <c r="G34">
        <v>40</v>
      </c>
      <c r="H34">
        <v>44</v>
      </c>
      <c r="I34">
        <v>34</v>
      </c>
      <c r="J34" s="18"/>
      <c r="K34" s="7"/>
      <c r="L34" s="7"/>
      <c r="M34" s="7"/>
      <c r="N34" s="7"/>
      <c r="O34" s="7"/>
      <c r="P34" s="7"/>
      <c r="Q34" s="7"/>
      <c r="R34" s="14">
        <v>64</v>
      </c>
      <c r="S34">
        <v>43</v>
      </c>
      <c r="T34">
        <v>55</v>
      </c>
      <c r="U34">
        <v>64</v>
      </c>
      <c r="V34">
        <v>56</v>
      </c>
      <c r="W34">
        <v>58</v>
      </c>
      <c r="X34">
        <v>64</v>
      </c>
      <c r="Y34">
        <v>64</v>
      </c>
      <c r="Z34" s="14">
        <v>75</v>
      </c>
      <c r="AA34">
        <v>67</v>
      </c>
      <c r="AB34">
        <v>51</v>
      </c>
      <c r="AC34">
        <v>60</v>
      </c>
      <c r="AD34">
        <v>31</v>
      </c>
      <c r="AE34">
        <v>45</v>
      </c>
      <c r="AF34">
        <v>55</v>
      </c>
      <c r="AG34">
        <v>52</v>
      </c>
    </row>
    <row r="35" spans="1:33" x14ac:dyDescent="0.25">
      <c r="A35" t="s">
        <v>68</v>
      </c>
      <c r="B35">
        <v>64</v>
      </c>
      <c r="C35">
        <v>65</v>
      </c>
      <c r="D35">
        <v>84</v>
      </c>
      <c r="E35">
        <v>78</v>
      </c>
      <c r="F35">
        <v>77</v>
      </c>
      <c r="G35">
        <v>25</v>
      </c>
      <c r="H35">
        <v>52</v>
      </c>
      <c r="I35">
        <v>26</v>
      </c>
      <c r="J35" s="18"/>
      <c r="K35" s="7"/>
      <c r="L35" s="7"/>
      <c r="M35" s="7"/>
      <c r="N35" s="7"/>
      <c r="O35" s="7"/>
      <c r="P35" s="7"/>
      <c r="Q35" s="7"/>
      <c r="R35" s="14">
        <v>29</v>
      </c>
      <c r="S35">
        <v>72</v>
      </c>
      <c r="T35">
        <v>49</v>
      </c>
      <c r="U35">
        <v>84</v>
      </c>
      <c r="V35">
        <v>79</v>
      </c>
      <c r="W35">
        <v>77</v>
      </c>
      <c r="X35">
        <v>41</v>
      </c>
      <c r="Y35">
        <v>48</v>
      </c>
      <c r="Z35" s="14">
        <v>68</v>
      </c>
      <c r="AA35">
        <v>44</v>
      </c>
      <c r="AB35">
        <v>47</v>
      </c>
      <c r="AC35">
        <v>44</v>
      </c>
      <c r="AD35">
        <v>74</v>
      </c>
      <c r="AE35">
        <v>78</v>
      </c>
      <c r="AF35">
        <v>48</v>
      </c>
      <c r="AG35">
        <v>85</v>
      </c>
    </row>
    <row r="36" spans="1:33" x14ac:dyDescent="0.25">
      <c r="A36" t="s">
        <v>69</v>
      </c>
      <c r="B36">
        <v>88</v>
      </c>
      <c r="C36">
        <v>93</v>
      </c>
      <c r="D36">
        <v>96</v>
      </c>
      <c r="E36">
        <v>76</v>
      </c>
      <c r="F36">
        <v>73</v>
      </c>
      <c r="G36">
        <v>51</v>
      </c>
      <c r="H36">
        <v>79</v>
      </c>
      <c r="I36">
        <v>59</v>
      </c>
      <c r="J36" s="14">
        <v>52</v>
      </c>
      <c r="K36">
        <v>44</v>
      </c>
      <c r="L36">
        <v>43</v>
      </c>
      <c r="M36">
        <v>43</v>
      </c>
      <c r="N36">
        <v>58</v>
      </c>
      <c r="O36">
        <v>28</v>
      </c>
      <c r="P36">
        <v>32</v>
      </c>
      <c r="Q36">
        <v>48</v>
      </c>
      <c r="R36" s="14">
        <v>93</v>
      </c>
      <c r="S36">
        <v>70</v>
      </c>
      <c r="T36">
        <v>80</v>
      </c>
      <c r="U36">
        <v>98</v>
      </c>
      <c r="V36">
        <v>85</v>
      </c>
      <c r="W36">
        <v>96</v>
      </c>
      <c r="X36">
        <v>82</v>
      </c>
      <c r="Y36">
        <v>67</v>
      </c>
      <c r="Z36" s="14">
        <v>88</v>
      </c>
      <c r="AA36">
        <v>89</v>
      </c>
      <c r="AB36">
        <v>77</v>
      </c>
      <c r="AC36">
        <v>83</v>
      </c>
      <c r="AD36">
        <v>87</v>
      </c>
      <c r="AE36">
        <v>94</v>
      </c>
      <c r="AF36">
        <v>77</v>
      </c>
      <c r="AG36">
        <v>58</v>
      </c>
    </row>
    <row r="37" spans="1:33" x14ac:dyDescent="0.25">
      <c r="A37" t="s">
        <v>70</v>
      </c>
      <c r="B37">
        <v>31</v>
      </c>
      <c r="C37">
        <v>69</v>
      </c>
      <c r="D37">
        <v>77</v>
      </c>
      <c r="E37">
        <v>70</v>
      </c>
      <c r="F37">
        <v>80</v>
      </c>
      <c r="G37">
        <v>84</v>
      </c>
      <c r="H37">
        <v>75</v>
      </c>
      <c r="I37">
        <v>85</v>
      </c>
      <c r="J37" s="14">
        <v>1</v>
      </c>
      <c r="K37">
        <v>0</v>
      </c>
      <c r="L37">
        <v>1</v>
      </c>
      <c r="M37">
        <v>0</v>
      </c>
      <c r="N37">
        <v>1</v>
      </c>
      <c r="O37">
        <v>8</v>
      </c>
      <c r="P37">
        <v>1</v>
      </c>
      <c r="Q37">
        <v>1</v>
      </c>
      <c r="R37" s="14">
        <v>75</v>
      </c>
      <c r="S37">
        <v>91</v>
      </c>
      <c r="T37">
        <v>79</v>
      </c>
      <c r="U37">
        <v>70</v>
      </c>
      <c r="V37">
        <v>85</v>
      </c>
      <c r="W37">
        <v>4</v>
      </c>
      <c r="X37">
        <v>89</v>
      </c>
      <c r="Y37">
        <v>79</v>
      </c>
      <c r="Z37" s="14">
        <v>84</v>
      </c>
      <c r="AA37">
        <v>78</v>
      </c>
      <c r="AB37">
        <v>72</v>
      </c>
      <c r="AC37">
        <v>79</v>
      </c>
      <c r="AD37">
        <v>13</v>
      </c>
      <c r="AE37">
        <v>77</v>
      </c>
      <c r="AF37">
        <v>2</v>
      </c>
      <c r="AG37">
        <v>96</v>
      </c>
    </row>
    <row r="38" spans="1:33" x14ac:dyDescent="0.25">
      <c r="A38" t="s">
        <v>74</v>
      </c>
      <c r="B38">
        <v>65</v>
      </c>
      <c r="C38">
        <v>71</v>
      </c>
      <c r="D38">
        <v>86</v>
      </c>
      <c r="E38">
        <v>79</v>
      </c>
      <c r="F38">
        <v>79</v>
      </c>
      <c r="G38">
        <v>72</v>
      </c>
      <c r="H38">
        <v>81</v>
      </c>
      <c r="I38">
        <v>69</v>
      </c>
      <c r="J38" s="14">
        <v>60</v>
      </c>
      <c r="K38">
        <v>33</v>
      </c>
      <c r="L38">
        <v>35</v>
      </c>
      <c r="M38">
        <v>46</v>
      </c>
      <c r="N38">
        <v>65</v>
      </c>
      <c r="O38">
        <v>63</v>
      </c>
      <c r="P38">
        <v>64</v>
      </c>
      <c r="Q38">
        <v>45</v>
      </c>
      <c r="R38" s="14">
        <v>85</v>
      </c>
      <c r="S38">
        <v>81</v>
      </c>
      <c r="T38">
        <v>84</v>
      </c>
      <c r="U38">
        <v>87</v>
      </c>
      <c r="V38">
        <v>74</v>
      </c>
      <c r="W38">
        <v>60</v>
      </c>
      <c r="X38">
        <v>76</v>
      </c>
      <c r="Y38">
        <v>50</v>
      </c>
      <c r="Z38" s="14">
        <v>68</v>
      </c>
      <c r="AA38">
        <v>80</v>
      </c>
      <c r="AB38">
        <v>60</v>
      </c>
      <c r="AC38">
        <v>68</v>
      </c>
      <c r="AD38">
        <v>49</v>
      </c>
      <c r="AE38">
        <v>63</v>
      </c>
      <c r="AF38">
        <v>54</v>
      </c>
      <c r="AG38">
        <v>57</v>
      </c>
    </row>
    <row r="39" spans="1:33" x14ac:dyDescent="0.25">
      <c r="A39" t="s">
        <v>79</v>
      </c>
      <c r="B39">
        <v>47</v>
      </c>
      <c r="C39">
        <v>48</v>
      </c>
      <c r="D39">
        <v>77</v>
      </c>
      <c r="E39">
        <v>75</v>
      </c>
      <c r="F39">
        <v>81</v>
      </c>
      <c r="G39">
        <v>68</v>
      </c>
      <c r="H39">
        <v>76</v>
      </c>
      <c r="I39">
        <v>77</v>
      </c>
      <c r="J39" s="14">
        <v>26</v>
      </c>
      <c r="K39">
        <v>24</v>
      </c>
      <c r="L39">
        <v>64</v>
      </c>
      <c r="M39">
        <v>31</v>
      </c>
      <c r="N39">
        <v>10</v>
      </c>
      <c r="O39">
        <v>18</v>
      </c>
      <c r="P39">
        <v>14</v>
      </c>
      <c r="Q39">
        <v>16</v>
      </c>
      <c r="R39" s="14">
        <v>98</v>
      </c>
      <c r="S39">
        <v>83</v>
      </c>
      <c r="T39">
        <v>100</v>
      </c>
      <c r="U39">
        <v>92</v>
      </c>
      <c r="V39">
        <v>87</v>
      </c>
      <c r="W39">
        <v>35</v>
      </c>
      <c r="X39">
        <v>98</v>
      </c>
      <c r="Y39">
        <v>100</v>
      </c>
      <c r="Z39" s="14">
        <v>97</v>
      </c>
      <c r="AA39">
        <v>90</v>
      </c>
      <c r="AB39">
        <v>93</v>
      </c>
      <c r="AC39">
        <v>97</v>
      </c>
      <c r="AD39">
        <v>66</v>
      </c>
      <c r="AE39">
        <v>98</v>
      </c>
      <c r="AF39">
        <v>86</v>
      </c>
      <c r="AG39">
        <v>93</v>
      </c>
    </row>
    <row r="40" spans="1:33" x14ac:dyDescent="0.25">
      <c r="A40" t="s">
        <v>80</v>
      </c>
      <c r="B40">
        <v>64</v>
      </c>
      <c r="C40">
        <v>79</v>
      </c>
      <c r="D40">
        <v>49</v>
      </c>
      <c r="E40">
        <v>98</v>
      </c>
      <c r="F40">
        <v>81</v>
      </c>
      <c r="G40">
        <v>50</v>
      </c>
      <c r="H40">
        <v>26</v>
      </c>
      <c r="I40">
        <v>22</v>
      </c>
      <c r="J40" s="14">
        <v>78</v>
      </c>
      <c r="K40">
        <v>38</v>
      </c>
      <c r="L40">
        <v>60</v>
      </c>
      <c r="M40">
        <v>80</v>
      </c>
      <c r="N40">
        <v>53</v>
      </c>
      <c r="O40">
        <v>34</v>
      </c>
      <c r="P40">
        <v>35</v>
      </c>
      <c r="Q40">
        <v>46</v>
      </c>
      <c r="R40" s="14">
        <v>50</v>
      </c>
      <c r="S40">
        <v>90</v>
      </c>
      <c r="T40">
        <v>56</v>
      </c>
      <c r="U40">
        <v>99</v>
      </c>
      <c r="V40">
        <v>100</v>
      </c>
      <c r="W40">
        <v>63</v>
      </c>
      <c r="X40">
        <v>29</v>
      </c>
      <c r="Y40">
        <v>51</v>
      </c>
      <c r="Z40" s="14">
        <v>25</v>
      </c>
      <c r="AA40">
        <v>76</v>
      </c>
      <c r="AB40">
        <v>92</v>
      </c>
      <c r="AC40">
        <v>84</v>
      </c>
      <c r="AD40">
        <v>86</v>
      </c>
      <c r="AE40">
        <v>29</v>
      </c>
      <c r="AF40">
        <v>40</v>
      </c>
      <c r="AG40">
        <v>93</v>
      </c>
    </row>
    <row r="41" spans="1:33" x14ac:dyDescent="0.25">
      <c r="A41" t="s">
        <v>86</v>
      </c>
      <c r="B41">
        <v>47</v>
      </c>
      <c r="C41">
        <v>49</v>
      </c>
      <c r="D41">
        <v>52</v>
      </c>
      <c r="E41">
        <v>38</v>
      </c>
      <c r="F41">
        <v>53</v>
      </c>
      <c r="G41">
        <v>51</v>
      </c>
      <c r="H41">
        <v>62</v>
      </c>
      <c r="I41">
        <v>52</v>
      </c>
      <c r="J41" s="14">
        <v>52</v>
      </c>
      <c r="K41">
        <v>35</v>
      </c>
      <c r="L41">
        <v>20</v>
      </c>
      <c r="M41">
        <v>9</v>
      </c>
      <c r="N41">
        <v>16</v>
      </c>
      <c r="O41">
        <v>8</v>
      </c>
      <c r="P41">
        <v>29</v>
      </c>
      <c r="Q41">
        <v>13</v>
      </c>
      <c r="R41" s="14">
        <v>59</v>
      </c>
      <c r="S41">
        <v>56</v>
      </c>
      <c r="T41">
        <v>52</v>
      </c>
      <c r="U41">
        <v>37</v>
      </c>
      <c r="V41">
        <v>43</v>
      </c>
      <c r="W41">
        <v>61</v>
      </c>
      <c r="X41">
        <v>59</v>
      </c>
      <c r="Y41">
        <v>50</v>
      </c>
      <c r="Z41" s="14">
        <v>56</v>
      </c>
      <c r="AA41">
        <v>49</v>
      </c>
      <c r="AB41">
        <v>48</v>
      </c>
      <c r="AC41">
        <v>63</v>
      </c>
      <c r="AD41">
        <v>41</v>
      </c>
      <c r="AE41">
        <v>51</v>
      </c>
      <c r="AF41">
        <v>60</v>
      </c>
      <c r="AG41">
        <v>54</v>
      </c>
    </row>
    <row r="42" spans="1:33" x14ac:dyDescent="0.25">
      <c r="A42" t="s">
        <v>92</v>
      </c>
      <c r="B42">
        <v>36</v>
      </c>
      <c r="C42">
        <v>58</v>
      </c>
      <c r="D42">
        <v>64</v>
      </c>
      <c r="E42">
        <v>41</v>
      </c>
      <c r="F42">
        <v>47</v>
      </c>
      <c r="G42">
        <v>66</v>
      </c>
      <c r="H42">
        <v>69</v>
      </c>
      <c r="I42">
        <v>62</v>
      </c>
      <c r="J42" s="14">
        <v>14</v>
      </c>
      <c r="K42">
        <v>16</v>
      </c>
      <c r="L42">
        <v>20</v>
      </c>
      <c r="M42">
        <v>7</v>
      </c>
      <c r="N42">
        <v>48</v>
      </c>
      <c r="O42">
        <v>59</v>
      </c>
      <c r="P42">
        <v>39</v>
      </c>
      <c r="Q42">
        <v>36</v>
      </c>
      <c r="R42" s="14">
        <v>68</v>
      </c>
      <c r="S42">
        <v>62</v>
      </c>
      <c r="T42">
        <v>70</v>
      </c>
      <c r="U42">
        <v>80</v>
      </c>
      <c r="V42">
        <v>21</v>
      </c>
      <c r="W42">
        <v>64</v>
      </c>
      <c r="X42">
        <v>48</v>
      </c>
      <c r="Y42">
        <v>58</v>
      </c>
      <c r="Z42" s="14">
        <v>48</v>
      </c>
      <c r="AA42">
        <v>54</v>
      </c>
      <c r="AB42">
        <v>62</v>
      </c>
      <c r="AC42">
        <v>63</v>
      </c>
      <c r="AD42">
        <v>16</v>
      </c>
      <c r="AE42">
        <v>76</v>
      </c>
      <c r="AF42">
        <v>61</v>
      </c>
      <c r="AG42">
        <v>72</v>
      </c>
    </row>
    <row r="43" spans="1:33" x14ac:dyDescent="0.25">
      <c r="A43" t="s">
        <v>93</v>
      </c>
      <c r="B43">
        <v>56</v>
      </c>
      <c r="C43">
        <v>42</v>
      </c>
      <c r="D43">
        <v>27</v>
      </c>
      <c r="E43">
        <v>49</v>
      </c>
      <c r="F43">
        <v>53</v>
      </c>
      <c r="G43">
        <v>41</v>
      </c>
      <c r="H43">
        <v>63</v>
      </c>
      <c r="I43">
        <v>63</v>
      </c>
      <c r="J43" s="14">
        <v>40</v>
      </c>
      <c r="K43">
        <v>17</v>
      </c>
      <c r="L43">
        <v>16</v>
      </c>
      <c r="M43">
        <v>19</v>
      </c>
      <c r="N43">
        <v>29</v>
      </c>
      <c r="O43">
        <v>15</v>
      </c>
      <c r="P43">
        <v>10</v>
      </c>
      <c r="Q43">
        <v>19</v>
      </c>
      <c r="R43" s="14">
        <v>79</v>
      </c>
      <c r="S43">
        <v>76</v>
      </c>
      <c r="T43">
        <v>67</v>
      </c>
      <c r="U43">
        <v>74</v>
      </c>
      <c r="V43">
        <v>69</v>
      </c>
      <c r="W43">
        <v>61</v>
      </c>
      <c r="X43">
        <v>55</v>
      </c>
      <c r="Y43">
        <v>71</v>
      </c>
      <c r="Z43" s="14">
        <v>35</v>
      </c>
      <c r="AA43">
        <v>54</v>
      </c>
      <c r="AB43">
        <v>72</v>
      </c>
      <c r="AC43">
        <v>69</v>
      </c>
      <c r="AD43">
        <v>59</v>
      </c>
      <c r="AE43">
        <v>72</v>
      </c>
      <c r="AF43">
        <v>64</v>
      </c>
      <c r="AG43">
        <v>81</v>
      </c>
    </row>
    <row r="44" spans="1:33" x14ac:dyDescent="0.25">
      <c r="A44" t="s">
        <v>110</v>
      </c>
      <c r="B44">
        <v>82</v>
      </c>
      <c r="C44">
        <v>87</v>
      </c>
      <c r="D44">
        <v>39</v>
      </c>
      <c r="E44">
        <v>40</v>
      </c>
      <c r="F44">
        <v>84</v>
      </c>
      <c r="G44">
        <v>78</v>
      </c>
      <c r="H44">
        <v>80</v>
      </c>
      <c r="I44">
        <v>80</v>
      </c>
      <c r="J44" s="14">
        <v>9</v>
      </c>
      <c r="K44">
        <v>5</v>
      </c>
      <c r="L44">
        <v>16</v>
      </c>
      <c r="M44">
        <v>4</v>
      </c>
      <c r="N44">
        <v>3</v>
      </c>
      <c r="O44">
        <v>3</v>
      </c>
      <c r="P44">
        <v>3</v>
      </c>
      <c r="Q44">
        <v>0</v>
      </c>
      <c r="R44" s="14">
        <v>91</v>
      </c>
      <c r="S44">
        <v>89</v>
      </c>
      <c r="T44">
        <v>66</v>
      </c>
      <c r="U44">
        <v>76</v>
      </c>
      <c r="V44">
        <v>82</v>
      </c>
      <c r="W44">
        <v>100</v>
      </c>
      <c r="X44">
        <v>100</v>
      </c>
      <c r="Y44">
        <v>90</v>
      </c>
      <c r="Z44" s="14">
        <v>90</v>
      </c>
      <c r="AA44">
        <v>99</v>
      </c>
      <c r="AB44">
        <v>67</v>
      </c>
      <c r="AC44">
        <v>89</v>
      </c>
      <c r="AD44">
        <v>87</v>
      </c>
      <c r="AE44">
        <v>87</v>
      </c>
      <c r="AF44">
        <v>100</v>
      </c>
      <c r="AG44">
        <v>78</v>
      </c>
    </row>
    <row r="45" spans="1:33" x14ac:dyDescent="0.25">
      <c r="A45" t="s">
        <v>120</v>
      </c>
      <c r="B45">
        <v>49</v>
      </c>
      <c r="C45">
        <v>57</v>
      </c>
      <c r="D45">
        <v>53</v>
      </c>
      <c r="E45" s="7"/>
      <c r="F45">
        <v>79</v>
      </c>
      <c r="G45">
        <v>69</v>
      </c>
      <c r="H45">
        <v>53</v>
      </c>
      <c r="I45">
        <v>64</v>
      </c>
      <c r="J45" s="14">
        <v>21</v>
      </c>
      <c r="K45">
        <v>17</v>
      </c>
      <c r="L45">
        <v>19</v>
      </c>
      <c r="M45" s="7"/>
      <c r="N45">
        <v>23</v>
      </c>
      <c r="O45">
        <v>26</v>
      </c>
      <c r="P45">
        <v>31</v>
      </c>
      <c r="Q45">
        <v>24</v>
      </c>
      <c r="R45" s="14">
        <v>40</v>
      </c>
      <c r="S45">
        <v>69</v>
      </c>
      <c r="T45">
        <v>68</v>
      </c>
      <c r="U45" s="7"/>
      <c r="V45">
        <v>74</v>
      </c>
      <c r="W45">
        <v>53</v>
      </c>
      <c r="X45">
        <v>50</v>
      </c>
      <c r="Y45">
        <v>65</v>
      </c>
      <c r="Z45" s="14">
        <v>72</v>
      </c>
      <c r="AA45">
        <v>72</v>
      </c>
      <c r="AB45">
        <v>63</v>
      </c>
      <c r="AC45" s="7"/>
      <c r="AD45">
        <v>85</v>
      </c>
      <c r="AE45">
        <v>68</v>
      </c>
      <c r="AF45">
        <v>47</v>
      </c>
      <c r="AG45">
        <v>76</v>
      </c>
    </row>
    <row r="46" spans="1:33" x14ac:dyDescent="0.25">
      <c r="A46" t="s">
        <v>125</v>
      </c>
      <c r="B46">
        <v>37</v>
      </c>
      <c r="C46">
        <v>28</v>
      </c>
      <c r="D46">
        <v>71</v>
      </c>
      <c r="E46">
        <v>38</v>
      </c>
      <c r="F46">
        <v>20</v>
      </c>
      <c r="G46">
        <v>38</v>
      </c>
      <c r="H46">
        <v>34</v>
      </c>
      <c r="I46">
        <v>35</v>
      </c>
      <c r="J46" s="14">
        <v>10</v>
      </c>
      <c r="K46">
        <v>18</v>
      </c>
      <c r="L46">
        <v>32</v>
      </c>
      <c r="M46">
        <v>38</v>
      </c>
      <c r="N46">
        <v>24</v>
      </c>
      <c r="O46">
        <v>27</v>
      </c>
      <c r="P46">
        <v>19</v>
      </c>
      <c r="Q46">
        <v>23</v>
      </c>
      <c r="R46" s="14">
        <v>37</v>
      </c>
      <c r="S46">
        <v>68</v>
      </c>
      <c r="T46">
        <v>70</v>
      </c>
      <c r="U46">
        <v>70</v>
      </c>
      <c r="V46">
        <v>75</v>
      </c>
      <c r="W46">
        <v>64</v>
      </c>
      <c r="X46">
        <v>48</v>
      </c>
      <c r="Y46">
        <v>78</v>
      </c>
      <c r="Z46" s="14">
        <v>75</v>
      </c>
      <c r="AA46">
        <v>68</v>
      </c>
      <c r="AB46">
        <v>77</v>
      </c>
      <c r="AC46">
        <v>67</v>
      </c>
      <c r="AD46">
        <v>64</v>
      </c>
      <c r="AE46">
        <v>72</v>
      </c>
      <c r="AF46">
        <v>74</v>
      </c>
      <c r="AG46">
        <v>13</v>
      </c>
    </row>
    <row r="47" spans="1:33" x14ac:dyDescent="0.25">
      <c r="A47" t="s">
        <v>130</v>
      </c>
      <c r="B47">
        <v>57</v>
      </c>
      <c r="C47">
        <v>45</v>
      </c>
      <c r="D47">
        <v>39</v>
      </c>
      <c r="E47">
        <v>54</v>
      </c>
      <c r="F47">
        <v>60</v>
      </c>
      <c r="G47">
        <v>58</v>
      </c>
      <c r="H47">
        <v>56</v>
      </c>
      <c r="I47">
        <v>56</v>
      </c>
      <c r="J47" s="14">
        <v>7</v>
      </c>
      <c r="K47">
        <v>39</v>
      </c>
      <c r="L47">
        <v>45</v>
      </c>
      <c r="M47">
        <v>18</v>
      </c>
      <c r="N47">
        <v>18</v>
      </c>
      <c r="O47">
        <v>17</v>
      </c>
      <c r="P47">
        <v>29</v>
      </c>
      <c r="Q47">
        <v>29</v>
      </c>
      <c r="R47" s="14">
        <v>50</v>
      </c>
      <c r="S47">
        <v>51</v>
      </c>
      <c r="T47">
        <v>57</v>
      </c>
      <c r="U47">
        <v>47</v>
      </c>
      <c r="V47">
        <v>75</v>
      </c>
      <c r="W47">
        <v>49</v>
      </c>
      <c r="X47">
        <v>74</v>
      </c>
      <c r="Y47">
        <v>81</v>
      </c>
      <c r="Z47" s="14">
        <v>51</v>
      </c>
      <c r="AA47">
        <v>57</v>
      </c>
      <c r="AB47">
        <v>58</v>
      </c>
      <c r="AC47">
        <v>78</v>
      </c>
      <c r="AD47">
        <v>64</v>
      </c>
      <c r="AE47">
        <v>67</v>
      </c>
      <c r="AF47">
        <v>57</v>
      </c>
      <c r="AG47">
        <v>69</v>
      </c>
    </row>
    <row r="48" spans="1:33" x14ac:dyDescent="0.25">
      <c r="A48" t="s">
        <v>145</v>
      </c>
      <c r="B48">
        <v>69</v>
      </c>
      <c r="C48">
        <v>66</v>
      </c>
      <c r="D48">
        <v>55</v>
      </c>
      <c r="E48">
        <v>48</v>
      </c>
      <c r="F48">
        <v>70</v>
      </c>
      <c r="G48">
        <v>76</v>
      </c>
      <c r="H48">
        <v>69</v>
      </c>
      <c r="I48">
        <v>62</v>
      </c>
      <c r="J48" s="14">
        <v>53</v>
      </c>
      <c r="K48">
        <v>74</v>
      </c>
      <c r="L48">
        <v>65</v>
      </c>
      <c r="M48" s="4">
        <v>33</v>
      </c>
      <c r="N48">
        <v>27</v>
      </c>
      <c r="O48">
        <v>60</v>
      </c>
      <c r="P48">
        <v>38</v>
      </c>
      <c r="Q48">
        <v>36</v>
      </c>
      <c r="R48" s="14">
        <v>81</v>
      </c>
      <c r="S48" s="5"/>
      <c r="T48">
        <v>79</v>
      </c>
      <c r="U48">
        <v>50</v>
      </c>
      <c r="V48">
        <v>70</v>
      </c>
      <c r="W48">
        <v>91</v>
      </c>
      <c r="X48">
        <v>78</v>
      </c>
      <c r="Y48">
        <v>67</v>
      </c>
      <c r="Z48" s="14">
        <v>73</v>
      </c>
      <c r="AA48" s="5"/>
      <c r="AB48">
        <v>64</v>
      </c>
      <c r="AC48">
        <v>81</v>
      </c>
      <c r="AD48">
        <v>72</v>
      </c>
      <c r="AE48">
        <v>91</v>
      </c>
      <c r="AF48">
        <v>70</v>
      </c>
      <c r="AG48">
        <v>75</v>
      </c>
    </row>
    <row r="49" spans="1:39" x14ac:dyDescent="0.25">
      <c r="A49" t="s">
        <v>144</v>
      </c>
      <c r="B49">
        <v>60</v>
      </c>
      <c r="C49">
        <v>64</v>
      </c>
      <c r="D49">
        <v>51</v>
      </c>
      <c r="E49">
        <v>43</v>
      </c>
      <c r="F49">
        <v>70</v>
      </c>
      <c r="G49">
        <v>63</v>
      </c>
      <c r="H49">
        <v>57</v>
      </c>
      <c r="I49">
        <v>56</v>
      </c>
      <c r="J49" s="14">
        <v>33</v>
      </c>
      <c r="K49">
        <v>25</v>
      </c>
      <c r="L49">
        <v>20</v>
      </c>
      <c r="M49">
        <v>60</v>
      </c>
      <c r="N49">
        <v>53</v>
      </c>
      <c r="O49">
        <v>31</v>
      </c>
      <c r="P49">
        <v>58</v>
      </c>
      <c r="Q49">
        <v>60</v>
      </c>
      <c r="R49" s="14">
        <v>52</v>
      </c>
      <c r="S49">
        <v>25</v>
      </c>
      <c r="T49">
        <v>53</v>
      </c>
      <c r="U49">
        <v>49</v>
      </c>
      <c r="V49">
        <v>80</v>
      </c>
      <c r="W49">
        <v>58</v>
      </c>
      <c r="X49">
        <v>48</v>
      </c>
      <c r="Y49">
        <v>62</v>
      </c>
      <c r="Z49" s="14">
        <v>59</v>
      </c>
      <c r="AA49">
        <v>47</v>
      </c>
      <c r="AB49">
        <v>65</v>
      </c>
      <c r="AC49">
        <v>56</v>
      </c>
      <c r="AD49">
        <v>65</v>
      </c>
      <c r="AE49">
        <v>75</v>
      </c>
      <c r="AF49">
        <v>74</v>
      </c>
      <c r="AG49">
        <v>75</v>
      </c>
    </row>
    <row r="50" spans="1:39" x14ac:dyDescent="0.25">
      <c r="A50" t="s">
        <v>132</v>
      </c>
      <c r="B50">
        <v>73</v>
      </c>
      <c r="C50">
        <v>58</v>
      </c>
      <c r="D50">
        <v>86</v>
      </c>
      <c r="E50">
        <v>85</v>
      </c>
      <c r="F50">
        <v>89</v>
      </c>
      <c r="G50">
        <v>68</v>
      </c>
      <c r="H50">
        <v>82</v>
      </c>
      <c r="I50">
        <v>33</v>
      </c>
      <c r="J50" s="14">
        <v>25</v>
      </c>
      <c r="K50">
        <v>44</v>
      </c>
      <c r="L50">
        <v>40</v>
      </c>
      <c r="M50">
        <v>52</v>
      </c>
      <c r="N50">
        <v>57</v>
      </c>
      <c r="O50">
        <v>60</v>
      </c>
      <c r="P50">
        <v>11</v>
      </c>
      <c r="Q50">
        <v>38</v>
      </c>
      <c r="R50" s="14">
        <v>71</v>
      </c>
      <c r="S50">
        <v>53</v>
      </c>
      <c r="T50">
        <v>79</v>
      </c>
      <c r="U50">
        <v>89</v>
      </c>
      <c r="V50">
        <v>73</v>
      </c>
      <c r="W50">
        <v>72</v>
      </c>
      <c r="X50">
        <v>37</v>
      </c>
      <c r="Y50">
        <v>71</v>
      </c>
      <c r="Z50" s="14">
        <v>49</v>
      </c>
      <c r="AA50">
        <v>75</v>
      </c>
      <c r="AB50">
        <v>83</v>
      </c>
      <c r="AC50">
        <v>73</v>
      </c>
      <c r="AD50">
        <v>64</v>
      </c>
      <c r="AE50">
        <v>62</v>
      </c>
      <c r="AF50">
        <v>60</v>
      </c>
      <c r="AG50">
        <v>74</v>
      </c>
    </row>
    <row r="51" spans="1:39" x14ac:dyDescent="0.25">
      <c r="A51" t="s">
        <v>146</v>
      </c>
      <c r="B51">
        <v>29</v>
      </c>
      <c r="C51">
        <v>23</v>
      </c>
      <c r="D51">
        <v>35</v>
      </c>
      <c r="E51">
        <v>28</v>
      </c>
      <c r="F51">
        <v>38</v>
      </c>
      <c r="G51">
        <v>44</v>
      </c>
      <c r="H51">
        <v>53</v>
      </c>
      <c r="I51">
        <v>35</v>
      </c>
      <c r="J51" s="14">
        <v>22</v>
      </c>
      <c r="K51">
        <v>5</v>
      </c>
      <c r="L51">
        <v>13</v>
      </c>
      <c r="M51">
        <v>7</v>
      </c>
      <c r="N51">
        <v>20</v>
      </c>
      <c r="O51">
        <v>14</v>
      </c>
      <c r="P51">
        <v>11</v>
      </c>
      <c r="Q51">
        <v>17</v>
      </c>
      <c r="R51" s="14">
        <v>68</v>
      </c>
      <c r="S51">
        <v>79</v>
      </c>
      <c r="T51">
        <v>75</v>
      </c>
      <c r="U51">
        <v>59</v>
      </c>
      <c r="V51">
        <v>37</v>
      </c>
      <c r="W51">
        <v>74</v>
      </c>
      <c r="X51">
        <v>52</v>
      </c>
      <c r="Y51">
        <v>54</v>
      </c>
      <c r="Z51" s="14">
        <v>72</v>
      </c>
      <c r="AA51">
        <v>84</v>
      </c>
      <c r="AB51">
        <v>73</v>
      </c>
      <c r="AC51">
        <v>65</v>
      </c>
      <c r="AD51">
        <v>47</v>
      </c>
      <c r="AE51">
        <v>59</v>
      </c>
      <c r="AF51">
        <v>57</v>
      </c>
      <c r="AG51">
        <v>39</v>
      </c>
    </row>
    <row r="52" spans="1:39" x14ac:dyDescent="0.25">
      <c r="A52" t="s">
        <v>147</v>
      </c>
      <c r="B52">
        <v>55</v>
      </c>
      <c r="C52">
        <v>62</v>
      </c>
      <c r="D52">
        <v>85</v>
      </c>
      <c r="E52">
        <v>67</v>
      </c>
      <c r="F52">
        <v>61</v>
      </c>
      <c r="G52">
        <v>48</v>
      </c>
      <c r="H52">
        <v>49</v>
      </c>
      <c r="I52">
        <v>60</v>
      </c>
      <c r="J52" s="14">
        <v>22</v>
      </c>
      <c r="K52">
        <v>52</v>
      </c>
      <c r="L52">
        <v>18</v>
      </c>
      <c r="M52">
        <v>18</v>
      </c>
      <c r="N52">
        <v>43</v>
      </c>
      <c r="O52">
        <v>31</v>
      </c>
      <c r="P52">
        <v>10</v>
      </c>
      <c r="Q52">
        <v>26</v>
      </c>
      <c r="R52" s="14">
        <v>54</v>
      </c>
      <c r="S52">
        <v>39</v>
      </c>
      <c r="T52">
        <v>63</v>
      </c>
      <c r="U52">
        <v>87</v>
      </c>
      <c r="V52">
        <v>27</v>
      </c>
      <c r="W52">
        <v>55</v>
      </c>
      <c r="X52">
        <v>90</v>
      </c>
      <c r="Y52">
        <v>76</v>
      </c>
      <c r="Z52" s="14">
        <v>64</v>
      </c>
      <c r="AA52">
        <v>82</v>
      </c>
      <c r="AB52">
        <v>93</v>
      </c>
      <c r="AC52">
        <v>98</v>
      </c>
      <c r="AD52">
        <v>84</v>
      </c>
      <c r="AE52">
        <v>95</v>
      </c>
      <c r="AF52">
        <v>64</v>
      </c>
      <c r="AG52">
        <v>74</v>
      </c>
    </row>
    <row r="53" spans="1:39" x14ac:dyDescent="0.25">
      <c r="A53" t="s">
        <v>155</v>
      </c>
      <c r="B53">
        <v>67</v>
      </c>
      <c r="C53">
        <v>49</v>
      </c>
      <c r="D53">
        <v>36</v>
      </c>
      <c r="E53" s="5"/>
      <c r="F53">
        <v>31</v>
      </c>
      <c r="G53">
        <v>26</v>
      </c>
      <c r="H53">
        <v>0</v>
      </c>
      <c r="I53">
        <v>24</v>
      </c>
      <c r="J53" s="14">
        <v>31</v>
      </c>
      <c r="K53">
        <v>2</v>
      </c>
      <c r="L53">
        <v>1</v>
      </c>
      <c r="M53" s="5"/>
      <c r="N53">
        <v>0</v>
      </c>
      <c r="O53">
        <v>0</v>
      </c>
      <c r="P53">
        <v>0</v>
      </c>
      <c r="Q53">
        <v>1</v>
      </c>
      <c r="R53" s="14">
        <v>67</v>
      </c>
      <c r="S53">
        <v>87</v>
      </c>
      <c r="T53">
        <v>60</v>
      </c>
      <c r="U53" s="5"/>
      <c r="V53">
        <v>32</v>
      </c>
      <c r="W53">
        <v>30</v>
      </c>
      <c r="X53">
        <v>29</v>
      </c>
      <c r="Y53">
        <v>18</v>
      </c>
      <c r="Z53" s="14">
        <v>26</v>
      </c>
      <c r="AA53">
        <v>48</v>
      </c>
      <c r="AB53">
        <v>42</v>
      </c>
      <c r="AC53" s="5"/>
      <c r="AD53">
        <v>26</v>
      </c>
      <c r="AE53">
        <v>70</v>
      </c>
      <c r="AF53">
        <v>33</v>
      </c>
      <c r="AG53">
        <v>38</v>
      </c>
    </row>
    <row r="54" spans="1:39" x14ac:dyDescent="0.25">
      <c r="A54" t="s">
        <v>158</v>
      </c>
      <c r="B54">
        <v>47</v>
      </c>
      <c r="C54">
        <v>58</v>
      </c>
      <c r="D54">
        <v>39</v>
      </c>
      <c r="E54">
        <v>51</v>
      </c>
      <c r="F54">
        <v>47</v>
      </c>
      <c r="G54">
        <v>66</v>
      </c>
      <c r="H54">
        <v>64</v>
      </c>
      <c r="I54">
        <v>47</v>
      </c>
      <c r="J54" s="14">
        <v>2</v>
      </c>
      <c r="K54" s="19">
        <v>4</v>
      </c>
      <c r="L54" s="19">
        <v>3</v>
      </c>
      <c r="M54" s="19">
        <v>1</v>
      </c>
      <c r="N54">
        <v>8</v>
      </c>
      <c r="O54">
        <v>10</v>
      </c>
      <c r="P54">
        <v>4</v>
      </c>
      <c r="Q54">
        <v>3</v>
      </c>
      <c r="R54" s="14">
        <v>51</v>
      </c>
      <c r="S54" s="19">
        <v>56</v>
      </c>
      <c r="T54" s="19">
        <v>47</v>
      </c>
      <c r="U54" s="19">
        <v>53</v>
      </c>
      <c r="V54" s="5"/>
      <c r="W54">
        <v>60</v>
      </c>
      <c r="X54">
        <v>61</v>
      </c>
      <c r="Y54" s="5"/>
      <c r="Z54" s="14">
        <v>13</v>
      </c>
      <c r="AA54" s="19">
        <v>42</v>
      </c>
      <c r="AB54" s="19">
        <v>56</v>
      </c>
      <c r="AC54" s="19">
        <v>47</v>
      </c>
      <c r="AD54">
        <v>54</v>
      </c>
      <c r="AE54">
        <v>60</v>
      </c>
      <c r="AF54">
        <v>74</v>
      </c>
      <c r="AG54" s="5"/>
    </row>
    <row r="55" spans="1:39" x14ac:dyDescent="0.25">
      <c r="A55" t="s">
        <v>162</v>
      </c>
      <c r="B55">
        <v>66</v>
      </c>
      <c r="C55">
        <v>66</v>
      </c>
      <c r="D55">
        <v>25</v>
      </c>
      <c r="E55">
        <v>57</v>
      </c>
      <c r="F55">
        <v>32</v>
      </c>
      <c r="G55">
        <v>16</v>
      </c>
      <c r="H55">
        <v>37</v>
      </c>
      <c r="I55">
        <v>16</v>
      </c>
      <c r="J55" s="14">
        <v>13</v>
      </c>
      <c r="K55">
        <v>6</v>
      </c>
      <c r="L55">
        <v>13</v>
      </c>
      <c r="M55">
        <v>33</v>
      </c>
      <c r="N55">
        <v>7</v>
      </c>
      <c r="O55">
        <v>10</v>
      </c>
      <c r="P55">
        <v>20</v>
      </c>
      <c r="Q55">
        <v>23</v>
      </c>
      <c r="R55" s="14">
        <v>63</v>
      </c>
      <c r="S55">
        <v>71</v>
      </c>
      <c r="T55">
        <v>33</v>
      </c>
      <c r="U55">
        <v>27</v>
      </c>
      <c r="V55">
        <v>46</v>
      </c>
      <c r="W55">
        <v>35</v>
      </c>
      <c r="X55">
        <v>66</v>
      </c>
      <c r="Y55">
        <v>26</v>
      </c>
      <c r="Z55" s="14">
        <v>72</v>
      </c>
      <c r="AA55">
        <v>85</v>
      </c>
      <c r="AB55">
        <v>40</v>
      </c>
      <c r="AC55">
        <v>30</v>
      </c>
      <c r="AD55">
        <v>58</v>
      </c>
      <c r="AE55">
        <v>58</v>
      </c>
      <c r="AF55" s="5"/>
      <c r="AG55">
        <v>23</v>
      </c>
    </row>
    <row r="56" spans="1:39" x14ac:dyDescent="0.25">
      <c r="A56" t="s">
        <v>160</v>
      </c>
      <c r="B56">
        <v>14</v>
      </c>
      <c r="C56">
        <v>12</v>
      </c>
      <c r="D56">
        <v>17</v>
      </c>
      <c r="E56">
        <v>15</v>
      </c>
      <c r="F56">
        <v>16</v>
      </c>
      <c r="G56">
        <v>13</v>
      </c>
      <c r="H56">
        <v>10</v>
      </c>
      <c r="I56">
        <v>12</v>
      </c>
      <c r="J56" s="14">
        <v>10</v>
      </c>
      <c r="K56">
        <v>16</v>
      </c>
      <c r="L56">
        <v>15</v>
      </c>
      <c r="M56">
        <v>28</v>
      </c>
      <c r="N56">
        <v>22</v>
      </c>
      <c r="O56">
        <v>19</v>
      </c>
      <c r="P56">
        <v>12</v>
      </c>
      <c r="Q56">
        <v>21</v>
      </c>
      <c r="R56" s="14">
        <v>31</v>
      </c>
      <c r="S56">
        <v>17</v>
      </c>
      <c r="T56">
        <v>26</v>
      </c>
      <c r="U56">
        <v>22</v>
      </c>
      <c r="V56">
        <v>31</v>
      </c>
      <c r="W56">
        <v>41</v>
      </c>
      <c r="X56">
        <v>31</v>
      </c>
      <c r="Y56">
        <v>42</v>
      </c>
      <c r="Z56" s="14">
        <v>37</v>
      </c>
      <c r="AA56">
        <v>12</v>
      </c>
      <c r="AB56">
        <v>27</v>
      </c>
      <c r="AC56">
        <v>33</v>
      </c>
      <c r="AD56">
        <v>30</v>
      </c>
      <c r="AE56">
        <v>24</v>
      </c>
      <c r="AF56">
        <v>38</v>
      </c>
      <c r="AG56">
        <v>39</v>
      </c>
    </row>
    <row r="57" spans="1:39" x14ac:dyDescent="0.25">
      <c r="A57" t="s">
        <v>173</v>
      </c>
      <c r="B57">
        <v>51</v>
      </c>
      <c r="C57">
        <v>54</v>
      </c>
      <c r="D57">
        <v>66</v>
      </c>
      <c r="E57">
        <v>68</v>
      </c>
      <c r="F57">
        <v>59</v>
      </c>
      <c r="G57">
        <v>61</v>
      </c>
      <c r="H57">
        <v>66</v>
      </c>
      <c r="I57">
        <v>59</v>
      </c>
      <c r="J57" s="14">
        <v>18</v>
      </c>
      <c r="K57">
        <v>22</v>
      </c>
      <c r="L57">
        <v>22</v>
      </c>
      <c r="M57">
        <v>48</v>
      </c>
      <c r="N57">
        <v>7</v>
      </c>
      <c r="O57">
        <v>32</v>
      </c>
      <c r="P57">
        <v>35</v>
      </c>
      <c r="Q57">
        <v>31</v>
      </c>
      <c r="R57" s="14">
        <v>62</v>
      </c>
      <c r="S57">
        <v>71</v>
      </c>
      <c r="T57">
        <v>61</v>
      </c>
      <c r="U57" s="5"/>
      <c r="V57">
        <v>80</v>
      </c>
      <c r="W57">
        <v>69</v>
      </c>
      <c r="X57">
        <v>67</v>
      </c>
      <c r="Y57">
        <v>67</v>
      </c>
      <c r="Z57" s="14">
        <v>62</v>
      </c>
      <c r="AA57">
        <v>56</v>
      </c>
      <c r="AB57">
        <v>69</v>
      </c>
      <c r="AC57" s="5"/>
      <c r="AD57">
        <v>77</v>
      </c>
      <c r="AE57">
        <v>74</v>
      </c>
      <c r="AF57">
        <v>90</v>
      </c>
      <c r="AG57">
        <v>89</v>
      </c>
    </row>
    <row r="58" spans="1:39" x14ac:dyDescent="0.25">
      <c r="A58" t="s">
        <v>174</v>
      </c>
      <c r="B58">
        <v>52</v>
      </c>
      <c r="C58">
        <v>55</v>
      </c>
      <c r="D58">
        <v>62</v>
      </c>
      <c r="E58">
        <v>49</v>
      </c>
      <c r="F58">
        <v>51</v>
      </c>
      <c r="G58">
        <v>52</v>
      </c>
      <c r="H58">
        <v>53</v>
      </c>
      <c r="I58">
        <v>66</v>
      </c>
      <c r="J58" s="14">
        <v>11</v>
      </c>
      <c r="K58">
        <v>13</v>
      </c>
      <c r="L58">
        <v>10</v>
      </c>
      <c r="M58">
        <v>27</v>
      </c>
      <c r="N58">
        <v>19</v>
      </c>
      <c r="O58">
        <v>18</v>
      </c>
      <c r="P58">
        <v>24</v>
      </c>
      <c r="Q58">
        <v>19</v>
      </c>
      <c r="R58" s="14">
        <v>68</v>
      </c>
      <c r="S58">
        <v>54</v>
      </c>
      <c r="T58">
        <v>48</v>
      </c>
      <c r="U58">
        <v>57</v>
      </c>
      <c r="V58">
        <v>73</v>
      </c>
      <c r="W58">
        <v>76</v>
      </c>
      <c r="X58">
        <v>73</v>
      </c>
      <c r="Y58">
        <v>72</v>
      </c>
      <c r="Z58" s="14">
        <v>68</v>
      </c>
      <c r="AA58">
        <v>62</v>
      </c>
      <c r="AB58">
        <v>64</v>
      </c>
      <c r="AC58">
        <v>70</v>
      </c>
      <c r="AD58">
        <v>41</v>
      </c>
      <c r="AE58">
        <v>66</v>
      </c>
      <c r="AF58">
        <v>64</v>
      </c>
      <c r="AG58">
        <v>66</v>
      </c>
    </row>
    <row r="59" spans="1:39" x14ac:dyDescent="0.25">
      <c r="A59" t="s">
        <v>175</v>
      </c>
      <c r="B59">
        <v>38</v>
      </c>
      <c r="C59">
        <v>38</v>
      </c>
      <c r="D59">
        <v>34</v>
      </c>
      <c r="E59">
        <v>45</v>
      </c>
      <c r="F59">
        <v>60</v>
      </c>
      <c r="G59">
        <v>41</v>
      </c>
      <c r="H59">
        <v>65</v>
      </c>
      <c r="I59">
        <v>49</v>
      </c>
      <c r="J59" s="14">
        <v>19</v>
      </c>
      <c r="K59">
        <v>33</v>
      </c>
      <c r="L59">
        <v>41</v>
      </c>
      <c r="M59">
        <v>43</v>
      </c>
      <c r="N59">
        <v>35</v>
      </c>
      <c r="O59">
        <v>39</v>
      </c>
      <c r="P59">
        <v>39</v>
      </c>
      <c r="Q59">
        <v>41</v>
      </c>
      <c r="R59" s="14">
        <v>61</v>
      </c>
      <c r="S59">
        <v>52</v>
      </c>
      <c r="T59">
        <v>68</v>
      </c>
      <c r="U59">
        <v>61</v>
      </c>
      <c r="V59">
        <v>71</v>
      </c>
      <c r="W59">
        <v>54</v>
      </c>
      <c r="X59">
        <v>56</v>
      </c>
      <c r="Y59">
        <v>31</v>
      </c>
      <c r="Z59" s="14">
        <v>45</v>
      </c>
      <c r="AA59">
        <v>73</v>
      </c>
      <c r="AB59">
        <v>70</v>
      </c>
      <c r="AC59">
        <v>71</v>
      </c>
      <c r="AD59">
        <v>46</v>
      </c>
      <c r="AE59">
        <v>39</v>
      </c>
      <c r="AF59">
        <v>39</v>
      </c>
      <c r="AG59">
        <v>49</v>
      </c>
    </row>
    <row r="60" spans="1:39" x14ac:dyDescent="0.25">
      <c r="A60" t="s">
        <v>187</v>
      </c>
      <c r="B60">
        <v>50</v>
      </c>
      <c r="C60">
        <v>45</v>
      </c>
      <c r="D60">
        <v>60</v>
      </c>
      <c r="E60">
        <v>32</v>
      </c>
      <c r="F60">
        <v>45</v>
      </c>
      <c r="G60">
        <v>50</v>
      </c>
      <c r="H60">
        <v>47</v>
      </c>
      <c r="I60">
        <v>40</v>
      </c>
      <c r="J60" s="14">
        <v>15</v>
      </c>
      <c r="K60">
        <v>16</v>
      </c>
      <c r="L60">
        <v>28</v>
      </c>
      <c r="M60">
        <v>23</v>
      </c>
      <c r="N60">
        <v>22</v>
      </c>
      <c r="O60">
        <v>28</v>
      </c>
      <c r="P60">
        <v>33</v>
      </c>
      <c r="Q60">
        <v>33</v>
      </c>
      <c r="R60" s="14">
        <v>63</v>
      </c>
      <c r="S60">
        <v>48</v>
      </c>
      <c r="T60">
        <v>58</v>
      </c>
      <c r="U60">
        <v>45</v>
      </c>
      <c r="V60">
        <v>55</v>
      </c>
      <c r="W60">
        <v>45</v>
      </c>
      <c r="X60">
        <v>43</v>
      </c>
      <c r="Y60">
        <v>34</v>
      </c>
      <c r="Z60" s="14">
        <v>70</v>
      </c>
      <c r="AA60">
        <v>37</v>
      </c>
      <c r="AB60">
        <v>45</v>
      </c>
      <c r="AC60">
        <v>57</v>
      </c>
      <c r="AD60">
        <v>60</v>
      </c>
      <c r="AE60">
        <v>44</v>
      </c>
      <c r="AF60">
        <v>56</v>
      </c>
      <c r="AG60">
        <v>58</v>
      </c>
    </row>
    <row r="61" spans="1:39" x14ac:dyDescent="0.25">
      <c r="A61" t="s">
        <v>186</v>
      </c>
      <c r="B61">
        <v>36</v>
      </c>
      <c r="C61">
        <v>49</v>
      </c>
      <c r="D61">
        <v>45</v>
      </c>
      <c r="E61">
        <v>52</v>
      </c>
      <c r="F61">
        <v>52</v>
      </c>
      <c r="G61">
        <v>65</v>
      </c>
      <c r="H61">
        <v>62</v>
      </c>
      <c r="I61">
        <v>67</v>
      </c>
      <c r="J61" s="14">
        <v>28</v>
      </c>
      <c r="K61">
        <v>13</v>
      </c>
      <c r="L61">
        <v>23</v>
      </c>
      <c r="M61">
        <v>15</v>
      </c>
      <c r="N61">
        <v>28</v>
      </c>
      <c r="O61">
        <v>41</v>
      </c>
      <c r="P61">
        <v>23</v>
      </c>
      <c r="Q61">
        <v>13</v>
      </c>
      <c r="R61" s="14">
        <v>62</v>
      </c>
      <c r="S61">
        <v>67</v>
      </c>
      <c r="T61">
        <v>54</v>
      </c>
      <c r="U61">
        <v>65</v>
      </c>
      <c r="V61">
        <v>60</v>
      </c>
      <c r="W61">
        <v>53</v>
      </c>
      <c r="X61">
        <v>56</v>
      </c>
      <c r="Y61">
        <v>74</v>
      </c>
      <c r="Z61" s="14">
        <v>68</v>
      </c>
      <c r="AA61">
        <v>43</v>
      </c>
      <c r="AB61">
        <v>54</v>
      </c>
      <c r="AC61">
        <v>76</v>
      </c>
      <c r="AD61">
        <v>61</v>
      </c>
      <c r="AE61">
        <v>60</v>
      </c>
      <c r="AF61">
        <v>69</v>
      </c>
      <c r="AG61">
        <v>60</v>
      </c>
    </row>
    <row r="63" spans="1:39" x14ac:dyDescent="0.25">
      <c r="AI63" s="25"/>
      <c r="AJ63" s="37"/>
      <c r="AK63" s="37"/>
      <c r="AL63" s="37"/>
      <c r="AM63" s="37"/>
    </row>
    <row r="65" spans="35:39" x14ac:dyDescent="0.25">
      <c r="AI65" s="25"/>
      <c r="AJ65" s="12"/>
      <c r="AK65" s="12"/>
      <c r="AL65" s="12"/>
      <c r="AM65" s="12"/>
    </row>
    <row r="66" spans="35:39" x14ac:dyDescent="0.25">
      <c r="AI66" s="25"/>
      <c r="AJ66" s="12"/>
      <c r="AK66" s="12"/>
      <c r="AL66" s="12"/>
      <c r="AM66" s="12"/>
    </row>
    <row r="67" spans="35:39" x14ac:dyDescent="0.25">
      <c r="AJ67" s="1"/>
      <c r="AK67" s="1"/>
      <c r="AL67" s="1"/>
      <c r="AM67" s="1"/>
    </row>
    <row r="68" spans="35:39" x14ac:dyDescent="0.25">
      <c r="AI68" s="25"/>
      <c r="AJ68" s="12"/>
      <c r="AK68" s="12"/>
      <c r="AL68" s="12"/>
      <c r="AM68" s="12"/>
    </row>
    <row r="69" spans="35:39" x14ac:dyDescent="0.25">
      <c r="AI69" s="25"/>
      <c r="AJ69" s="12"/>
      <c r="AK69" s="12"/>
      <c r="AL69" s="12"/>
      <c r="AM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M69"/>
  <sheetViews>
    <sheetView zoomScale="55" zoomScaleNormal="55" workbookViewId="0">
      <selection activeCell="AK11" sqref="AK11"/>
    </sheetView>
  </sheetViews>
  <sheetFormatPr defaultRowHeight="15" x14ac:dyDescent="0.25"/>
  <cols>
    <col min="10" max="10" width="9.140625" style="14"/>
    <col min="18" max="18" width="9.140625" style="14"/>
    <col min="26" max="26" width="9.140625" style="14"/>
  </cols>
  <sheetData>
    <row r="1" spans="1:33" s="25" customFormat="1" x14ac:dyDescent="0.25">
      <c r="A1" s="25" t="s">
        <v>0</v>
      </c>
      <c r="B1" s="25" t="s">
        <v>205</v>
      </c>
      <c r="C1" s="25" t="s">
        <v>206</v>
      </c>
      <c r="D1" s="25" t="s">
        <v>207</v>
      </c>
      <c r="E1" s="25" t="s">
        <v>208</v>
      </c>
      <c r="F1" s="25" t="s">
        <v>209</v>
      </c>
      <c r="G1" s="25" t="s">
        <v>210</v>
      </c>
      <c r="H1" s="25" t="s">
        <v>211</v>
      </c>
      <c r="I1" s="25" t="s">
        <v>212</v>
      </c>
      <c r="J1" s="25" t="s">
        <v>213</v>
      </c>
      <c r="K1" s="25" t="s">
        <v>214</v>
      </c>
      <c r="L1" s="25" t="s">
        <v>215</v>
      </c>
      <c r="M1" s="25" t="s">
        <v>216</v>
      </c>
      <c r="N1" s="25" t="s">
        <v>217</v>
      </c>
      <c r="O1" s="25" t="s">
        <v>218</v>
      </c>
      <c r="P1" s="25" t="s">
        <v>219</v>
      </c>
      <c r="Q1" s="25" t="s">
        <v>220</v>
      </c>
      <c r="R1" s="31" t="s">
        <v>221</v>
      </c>
      <c r="S1" s="25" t="s">
        <v>222</v>
      </c>
      <c r="T1" s="25" t="s">
        <v>223</v>
      </c>
      <c r="U1" s="25" t="s">
        <v>224</v>
      </c>
      <c r="V1" s="25" t="s">
        <v>225</v>
      </c>
      <c r="W1" s="25" t="s">
        <v>226</v>
      </c>
      <c r="X1" s="25" t="s">
        <v>227</v>
      </c>
      <c r="Y1" s="25" t="s">
        <v>228</v>
      </c>
      <c r="Z1" s="31" t="s">
        <v>229</v>
      </c>
      <c r="AA1" s="25" t="s">
        <v>230</v>
      </c>
      <c r="AB1" s="25" t="s">
        <v>231</v>
      </c>
      <c r="AC1" s="25" t="s">
        <v>232</v>
      </c>
      <c r="AD1" s="25" t="s">
        <v>233</v>
      </c>
      <c r="AE1" s="25" t="s">
        <v>234</v>
      </c>
      <c r="AF1" s="25" t="s">
        <v>235</v>
      </c>
      <c r="AG1" s="25" t="s">
        <v>236</v>
      </c>
    </row>
    <row r="2" spans="1:33" x14ac:dyDescent="0.25">
      <c r="A2" t="s">
        <v>3</v>
      </c>
      <c r="B2">
        <v>39</v>
      </c>
      <c r="C2">
        <v>38</v>
      </c>
      <c r="D2">
        <v>41</v>
      </c>
      <c r="E2">
        <v>40</v>
      </c>
      <c r="F2">
        <v>17</v>
      </c>
      <c r="G2">
        <v>20</v>
      </c>
      <c r="H2">
        <v>14</v>
      </c>
      <c r="I2">
        <v>43</v>
      </c>
      <c r="J2" s="18"/>
      <c r="K2" s="7"/>
      <c r="L2" s="7"/>
      <c r="M2" s="7"/>
      <c r="N2" s="7"/>
      <c r="O2" s="7"/>
      <c r="P2" s="7"/>
      <c r="Q2" s="7"/>
      <c r="R2" s="14">
        <v>27</v>
      </c>
      <c r="S2">
        <v>19</v>
      </c>
      <c r="T2">
        <v>38</v>
      </c>
      <c r="U2">
        <v>60</v>
      </c>
      <c r="V2">
        <v>39</v>
      </c>
      <c r="W2">
        <v>45</v>
      </c>
      <c r="X2">
        <v>28</v>
      </c>
      <c r="Y2">
        <v>42</v>
      </c>
      <c r="Z2" s="14">
        <v>41</v>
      </c>
      <c r="AA2">
        <v>44</v>
      </c>
      <c r="AB2">
        <v>37</v>
      </c>
      <c r="AC2">
        <v>58</v>
      </c>
      <c r="AD2">
        <v>40</v>
      </c>
      <c r="AE2">
        <v>41</v>
      </c>
      <c r="AF2">
        <v>8</v>
      </c>
      <c r="AG2">
        <v>8</v>
      </c>
    </row>
    <row r="3" spans="1:33" x14ac:dyDescent="0.25">
      <c r="A3" t="s">
        <v>13</v>
      </c>
      <c r="B3">
        <v>82</v>
      </c>
      <c r="C3">
        <v>80</v>
      </c>
      <c r="D3">
        <v>70</v>
      </c>
      <c r="E3">
        <v>75</v>
      </c>
      <c r="F3">
        <v>77</v>
      </c>
      <c r="G3">
        <v>80</v>
      </c>
      <c r="H3">
        <v>69</v>
      </c>
      <c r="I3">
        <v>78</v>
      </c>
      <c r="J3" s="18"/>
      <c r="K3" s="7"/>
      <c r="L3" s="7"/>
      <c r="M3" s="7"/>
      <c r="N3" s="7"/>
      <c r="O3" s="7"/>
      <c r="P3" s="7"/>
      <c r="Q3" s="7"/>
      <c r="R3" s="14">
        <v>74</v>
      </c>
      <c r="S3">
        <v>77</v>
      </c>
      <c r="T3">
        <v>83</v>
      </c>
      <c r="U3">
        <v>74</v>
      </c>
      <c r="V3">
        <v>86</v>
      </c>
      <c r="W3">
        <v>67</v>
      </c>
      <c r="X3">
        <v>82</v>
      </c>
      <c r="Y3">
        <v>82</v>
      </c>
      <c r="Z3" s="14">
        <v>78</v>
      </c>
      <c r="AA3">
        <v>54</v>
      </c>
      <c r="AB3">
        <v>60</v>
      </c>
      <c r="AC3">
        <v>75</v>
      </c>
      <c r="AD3">
        <v>72</v>
      </c>
      <c r="AE3">
        <v>68</v>
      </c>
      <c r="AF3">
        <v>71</v>
      </c>
      <c r="AG3">
        <v>73</v>
      </c>
    </row>
    <row r="4" spans="1:33" x14ac:dyDescent="0.25">
      <c r="A4" t="s">
        <v>68</v>
      </c>
      <c r="B4">
        <v>72</v>
      </c>
      <c r="C4">
        <v>69</v>
      </c>
      <c r="D4">
        <v>81</v>
      </c>
      <c r="E4">
        <v>67</v>
      </c>
      <c r="F4">
        <v>70</v>
      </c>
      <c r="G4">
        <v>82</v>
      </c>
      <c r="H4">
        <v>86</v>
      </c>
      <c r="I4">
        <v>63</v>
      </c>
      <c r="J4" s="18"/>
      <c r="K4" s="7"/>
      <c r="L4" s="7"/>
      <c r="M4" s="7"/>
      <c r="N4" s="7"/>
      <c r="O4" s="7"/>
      <c r="P4" s="7"/>
      <c r="Q4" s="7"/>
      <c r="R4" s="14">
        <v>86</v>
      </c>
      <c r="S4">
        <v>66</v>
      </c>
      <c r="T4">
        <v>32</v>
      </c>
      <c r="U4">
        <v>55</v>
      </c>
      <c r="V4">
        <v>76</v>
      </c>
      <c r="W4">
        <v>96</v>
      </c>
      <c r="X4">
        <v>82</v>
      </c>
      <c r="Y4">
        <v>78</v>
      </c>
      <c r="Z4" s="14">
        <v>29</v>
      </c>
      <c r="AA4">
        <v>49</v>
      </c>
      <c r="AB4">
        <v>75</v>
      </c>
      <c r="AC4">
        <v>88</v>
      </c>
      <c r="AD4">
        <v>78</v>
      </c>
      <c r="AE4">
        <v>96</v>
      </c>
      <c r="AF4">
        <v>69</v>
      </c>
      <c r="AG4">
        <v>51</v>
      </c>
    </row>
    <row r="5" spans="1:33" x14ac:dyDescent="0.25">
      <c r="A5" t="s">
        <v>69</v>
      </c>
      <c r="B5">
        <v>60</v>
      </c>
      <c r="C5">
        <v>66</v>
      </c>
      <c r="D5">
        <v>73</v>
      </c>
      <c r="E5">
        <v>60</v>
      </c>
      <c r="F5">
        <v>49</v>
      </c>
      <c r="G5">
        <v>73</v>
      </c>
      <c r="H5">
        <v>66</v>
      </c>
      <c r="I5">
        <v>77</v>
      </c>
      <c r="J5" s="14">
        <v>48</v>
      </c>
      <c r="K5">
        <v>52</v>
      </c>
      <c r="L5">
        <v>50</v>
      </c>
      <c r="M5">
        <v>56</v>
      </c>
      <c r="N5">
        <v>37</v>
      </c>
      <c r="O5">
        <v>43</v>
      </c>
      <c r="P5">
        <v>30</v>
      </c>
      <c r="Q5">
        <v>41</v>
      </c>
      <c r="R5" s="14">
        <v>62</v>
      </c>
      <c r="S5">
        <v>62</v>
      </c>
      <c r="T5">
        <v>56</v>
      </c>
      <c r="U5">
        <v>59</v>
      </c>
      <c r="V5">
        <v>79</v>
      </c>
      <c r="W5">
        <v>73</v>
      </c>
      <c r="X5">
        <v>70</v>
      </c>
      <c r="Y5">
        <v>73</v>
      </c>
      <c r="Z5" s="14">
        <v>69</v>
      </c>
      <c r="AA5">
        <v>84</v>
      </c>
      <c r="AB5">
        <v>51</v>
      </c>
      <c r="AC5">
        <v>43</v>
      </c>
      <c r="AD5">
        <v>83</v>
      </c>
      <c r="AE5">
        <v>83</v>
      </c>
      <c r="AF5">
        <v>86</v>
      </c>
      <c r="AG5">
        <v>66</v>
      </c>
    </row>
    <row r="6" spans="1:33" x14ac:dyDescent="0.25">
      <c r="A6" t="s">
        <v>70</v>
      </c>
      <c r="B6">
        <v>25</v>
      </c>
      <c r="C6">
        <v>59</v>
      </c>
      <c r="D6">
        <v>70</v>
      </c>
      <c r="E6">
        <v>75</v>
      </c>
      <c r="F6">
        <v>22</v>
      </c>
      <c r="G6">
        <v>70</v>
      </c>
      <c r="H6">
        <v>40</v>
      </c>
      <c r="I6">
        <v>68</v>
      </c>
      <c r="J6" s="14">
        <v>59</v>
      </c>
      <c r="K6">
        <v>67</v>
      </c>
      <c r="L6">
        <v>87</v>
      </c>
      <c r="M6">
        <v>77</v>
      </c>
      <c r="N6">
        <v>62</v>
      </c>
      <c r="O6">
        <v>67</v>
      </c>
      <c r="P6">
        <v>66</v>
      </c>
      <c r="Q6">
        <v>75</v>
      </c>
      <c r="R6" s="14">
        <v>26</v>
      </c>
      <c r="S6">
        <v>31</v>
      </c>
      <c r="T6">
        <v>64</v>
      </c>
      <c r="U6">
        <v>16</v>
      </c>
      <c r="V6">
        <v>14</v>
      </c>
      <c r="W6">
        <v>61</v>
      </c>
      <c r="X6">
        <v>18</v>
      </c>
      <c r="Y6">
        <v>33</v>
      </c>
      <c r="Z6" s="14">
        <v>58</v>
      </c>
      <c r="AA6">
        <v>3</v>
      </c>
      <c r="AB6">
        <v>12</v>
      </c>
      <c r="AC6">
        <v>28</v>
      </c>
      <c r="AD6">
        <v>26</v>
      </c>
      <c r="AE6">
        <v>20</v>
      </c>
      <c r="AF6">
        <v>25</v>
      </c>
      <c r="AG6">
        <v>54</v>
      </c>
    </row>
    <row r="7" spans="1:33" x14ac:dyDescent="0.25">
      <c r="A7" t="s">
        <v>74</v>
      </c>
      <c r="B7">
        <v>54</v>
      </c>
      <c r="C7">
        <v>48</v>
      </c>
      <c r="D7">
        <v>27</v>
      </c>
      <c r="E7">
        <v>56</v>
      </c>
      <c r="F7">
        <v>66</v>
      </c>
      <c r="G7">
        <v>58</v>
      </c>
      <c r="H7">
        <v>36</v>
      </c>
      <c r="I7">
        <v>48</v>
      </c>
      <c r="J7" s="14">
        <v>22</v>
      </c>
      <c r="K7">
        <v>58</v>
      </c>
      <c r="L7">
        <v>48</v>
      </c>
      <c r="M7">
        <v>50</v>
      </c>
      <c r="N7">
        <v>41</v>
      </c>
      <c r="O7">
        <v>52</v>
      </c>
      <c r="P7">
        <v>50</v>
      </c>
      <c r="Q7">
        <v>59</v>
      </c>
      <c r="R7" s="14">
        <v>47</v>
      </c>
      <c r="S7">
        <v>65</v>
      </c>
      <c r="T7">
        <v>61</v>
      </c>
      <c r="U7">
        <v>62</v>
      </c>
      <c r="V7">
        <v>53</v>
      </c>
      <c r="W7">
        <v>47</v>
      </c>
      <c r="X7">
        <v>50</v>
      </c>
      <c r="Y7">
        <v>64</v>
      </c>
      <c r="Z7" s="14">
        <v>49</v>
      </c>
      <c r="AA7">
        <v>49</v>
      </c>
      <c r="AB7">
        <v>68</v>
      </c>
      <c r="AC7">
        <v>60</v>
      </c>
      <c r="AD7">
        <v>54</v>
      </c>
      <c r="AE7">
        <v>27</v>
      </c>
      <c r="AF7">
        <v>64</v>
      </c>
      <c r="AG7">
        <v>64</v>
      </c>
    </row>
    <row r="8" spans="1:33" x14ac:dyDescent="0.25">
      <c r="A8" t="s">
        <v>79</v>
      </c>
      <c r="B8">
        <v>82</v>
      </c>
      <c r="C8">
        <v>63</v>
      </c>
      <c r="D8">
        <v>61</v>
      </c>
      <c r="E8">
        <v>76</v>
      </c>
      <c r="F8">
        <v>90</v>
      </c>
      <c r="G8">
        <v>75</v>
      </c>
      <c r="H8">
        <v>95</v>
      </c>
      <c r="I8">
        <v>49</v>
      </c>
      <c r="J8" s="14">
        <v>81</v>
      </c>
      <c r="K8">
        <v>73</v>
      </c>
      <c r="L8">
        <v>57</v>
      </c>
      <c r="M8">
        <v>85</v>
      </c>
      <c r="N8">
        <v>89</v>
      </c>
      <c r="O8">
        <v>83</v>
      </c>
      <c r="P8">
        <v>67</v>
      </c>
      <c r="Q8">
        <v>69</v>
      </c>
      <c r="R8" s="14">
        <v>75</v>
      </c>
      <c r="S8">
        <v>68</v>
      </c>
      <c r="T8">
        <v>52</v>
      </c>
      <c r="U8">
        <v>26</v>
      </c>
      <c r="V8">
        <v>76</v>
      </c>
      <c r="W8">
        <v>52</v>
      </c>
      <c r="X8">
        <v>96</v>
      </c>
      <c r="Y8">
        <v>84</v>
      </c>
      <c r="Z8" s="14">
        <v>57</v>
      </c>
      <c r="AA8">
        <v>86</v>
      </c>
      <c r="AB8">
        <v>81</v>
      </c>
      <c r="AC8">
        <v>89</v>
      </c>
      <c r="AD8">
        <v>89</v>
      </c>
      <c r="AE8">
        <v>49</v>
      </c>
      <c r="AF8">
        <v>92</v>
      </c>
      <c r="AG8">
        <v>96</v>
      </c>
    </row>
    <row r="9" spans="1:33" x14ac:dyDescent="0.25">
      <c r="A9" t="s">
        <v>80</v>
      </c>
      <c r="B9">
        <v>42</v>
      </c>
      <c r="C9">
        <v>62</v>
      </c>
      <c r="D9">
        <v>58</v>
      </c>
      <c r="E9">
        <v>79</v>
      </c>
      <c r="F9">
        <v>86</v>
      </c>
      <c r="G9">
        <v>72</v>
      </c>
      <c r="H9">
        <v>89</v>
      </c>
      <c r="I9">
        <v>74</v>
      </c>
      <c r="J9" s="14">
        <v>57</v>
      </c>
      <c r="K9">
        <v>12</v>
      </c>
      <c r="L9">
        <v>27</v>
      </c>
      <c r="M9">
        <v>40</v>
      </c>
      <c r="N9">
        <v>65</v>
      </c>
      <c r="O9">
        <v>68</v>
      </c>
      <c r="P9">
        <v>64</v>
      </c>
      <c r="Q9">
        <v>74</v>
      </c>
      <c r="R9" s="14">
        <v>21</v>
      </c>
      <c r="S9">
        <v>58</v>
      </c>
      <c r="T9">
        <v>55</v>
      </c>
      <c r="U9" s="7"/>
      <c r="V9">
        <v>37</v>
      </c>
      <c r="W9">
        <v>62</v>
      </c>
      <c r="X9">
        <v>83</v>
      </c>
      <c r="Y9">
        <v>77</v>
      </c>
      <c r="Z9" s="14">
        <v>79</v>
      </c>
      <c r="AA9">
        <v>48</v>
      </c>
      <c r="AB9">
        <v>65</v>
      </c>
      <c r="AC9">
        <v>54</v>
      </c>
      <c r="AD9">
        <v>50</v>
      </c>
      <c r="AE9">
        <v>58</v>
      </c>
      <c r="AF9">
        <v>38</v>
      </c>
      <c r="AG9">
        <v>61</v>
      </c>
    </row>
    <row r="10" spans="1:33" x14ac:dyDescent="0.25">
      <c r="A10" t="s">
        <v>86</v>
      </c>
      <c r="B10">
        <v>46</v>
      </c>
      <c r="C10">
        <v>57</v>
      </c>
      <c r="D10">
        <v>31</v>
      </c>
      <c r="E10">
        <v>36</v>
      </c>
      <c r="F10">
        <v>21</v>
      </c>
      <c r="G10">
        <v>78</v>
      </c>
      <c r="H10">
        <v>59</v>
      </c>
      <c r="I10">
        <v>63</v>
      </c>
      <c r="J10" s="14">
        <v>23</v>
      </c>
      <c r="K10">
        <v>41</v>
      </c>
      <c r="L10">
        <v>42</v>
      </c>
      <c r="M10">
        <v>65</v>
      </c>
      <c r="N10">
        <v>24</v>
      </c>
      <c r="O10">
        <v>64</v>
      </c>
      <c r="P10">
        <v>60</v>
      </c>
      <c r="Q10">
        <v>75</v>
      </c>
      <c r="R10" s="14">
        <v>44</v>
      </c>
      <c r="S10">
        <v>64</v>
      </c>
      <c r="T10">
        <v>39</v>
      </c>
      <c r="U10">
        <v>53</v>
      </c>
      <c r="V10">
        <v>65</v>
      </c>
      <c r="W10">
        <v>57</v>
      </c>
      <c r="X10">
        <v>61</v>
      </c>
      <c r="Y10">
        <v>63</v>
      </c>
      <c r="Z10" s="14">
        <v>48</v>
      </c>
      <c r="AA10">
        <v>50</v>
      </c>
      <c r="AB10">
        <v>39</v>
      </c>
      <c r="AC10">
        <v>45</v>
      </c>
      <c r="AD10">
        <v>68</v>
      </c>
      <c r="AE10">
        <v>67</v>
      </c>
      <c r="AF10">
        <v>63</v>
      </c>
      <c r="AG10">
        <v>71</v>
      </c>
    </row>
    <row r="11" spans="1:33" x14ac:dyDescent="0.25">
      <c r="A11" t="s">
        <v>92</v>
      </c>
      <c r="B11">
        <v>61</v>
      </c>
      <c r="C11">
        <v>43</v>
      </c>
      <c r="D11">
        <v>60</v>
      </c>
      <c r="E11">
        <v>8</v>
      </c>
      <c r="F11">
        <v>35</v>
      </c>
      <c r="G11">
        <v>12</v>
      </c>
      <c r="H11">
        <v>59</v>
      </c>
      <c r="I11">
        <v>10</v>
      </c>
      <c r="J11" s="14">
        <v>63</v>
      </c>
      <c r="K11">
        <v>6</v>
      </c>
      <c r="L11">
        <v>82</v>
      </c>
      <c r="M11">
        <v>13</v>
      </c>
      <c r="N11">
        <v>57</v>
      </c>
      <c r="O11">
        <v>6</v>
      </c>
      <c r="P11">
        <v>52</v>
      </c>
      <c r="Q11">
        <v>53</v>
      </c>
      <c r="R11" s="14">
        <v>7</v>
      </c>
      <c r="S11">
        <v>52</v>
      </c>
      <c r="T11">
        <v>66</v>
      </c>
      <c r="U11">
        <v>4</v>
      </c>
      <c r="V11">
        <v>10</v>
      </c>
      <c r="W11">
        <v>11</v>
      </c>
      <c r="X11">
        <v>53</v>
      </c>
      <c r="Y11">
        <v>56</v>
      </c>
      <c r="Z11" s="14">
        <v>38</v>
      </c>
      <c r="AA11">
        <v>57</v>
      </c>
      <c r="AB11">
        <v>20</v>
      </c>
      <c r="AC11">
        <v>30</v>
      </c>
      <c r="AD11">
        <v>12</v>
      </c>
      <c r="AE11">
        <v>26</v>
      </c>
      <c r="AF11">
        <v>64</v>
      </c>
      <c r="AG11">
        <v>12</v>
      </c>
    </row>
    <row r="12" spans="1:33" x14ac:dyDescent="0.25">
      <c r="A12" t="s">
        <v>93</v>
      </c>
      <c r="B12">
        <v>66</v>
      </c>
      <c r="C12">
        <v>20</v>
      </c>
      <c r="D12">
        <v>71</v>
      </c>
      <c r="E12">
        <v>42</v>
      </c>
      <c r="F12">
        <v>37</v>
      </c>
      <c r="G12">
        <v>43</v>
      </c>
      <c r="H12">
        <v>50</v>
      </c>
      <c r="I12">
        <v>34</v>
      </c>
      <c r="J12" s="14">
        <v>25</v>
      </c>
      <c r="K12">
        <v>18</v>
      </c>
      <c r="L12">
        <v>34</v>
      </c>
      <c r="M12">
        <v>44</v>
      </c>
      <c r="N12">
        <v>16</v>
      </c>
      <c r="O12">
        <v>51</v>
      </c>
      <c r="P12">
        <v>55</v>
      </c>
      <c r="Q12">
        <v>51</v>
      </c>
      <c r="R12" s="14">
        <v>29</v>
      </c>
      <c r="S12">
        <v>20</v>
      </c>
      <c r="T12">
        <v>49</v>
      </c>
      <c r="U12">
        <v>36</v>
      </c>
      <c r="V12">
        <v>33</v>
      </c>
      <c r="W12">
        <v>67</v>
      </c>
      <c r="X12">
        <v>45</v>
      </c>
      <c r="Y12">
        <v>31</v>
      </c>
      <c r="Z12" s="14">
        <v>10</v>
      </c>
      <c r="AA12">
        <v>27</v>
      </c>
      <c r="AB12">
        <v>30</v>
      </c>
      <c r="AC12">
        <v>46</v>
      </c>
      <c r="AD12">
        <v>41</v>
      </c>
      <c r="AE12">
        <v>50</v>
      </c>
      <c r="AF12">
        <v>46</v>
      </c>
      <c r="AG12">
        <v>50</v>
      </c>
    </row>
    <row r="13" spans="1:33" x14ac:dyDescent="0.25">
      <c r="A13" t="s">
        <v>110</v>
      </c>
      <c r="B13">
        <v>68</v>
      </c>
      <c r="C13">
        <v>78</v>
      </c>
      <c r="D13">
        <v>92</v>
      </c>
      <c r="E13">
        <v>72</v>
      </c>
      <c r="F13">
        <v>71</v>
      </c>
      <c r="G13">
        <v>87</v>
      </c>
      <c r="H13">
        <v>84</v>
      </c>
      <c r="I13">
        <v>74</v>
      </c>
      <c r="J13" s="14">
        <v>41</v>
      </c>
      <c r="K13">
        <v>74</v>
      </c>
      <c r="L13">
        <v>76</v>
      </c>
      <c r="M13">
        <v>68</v>
      </c>
      <c r="N13">
        <v>78</v>
      </c>
      <c r="O13">
        <v>86</v>
      </c>
      <c r="P13">
        <v>76</v>
      </c>
      <c r="Q13">
        <v>66</v>
      </c>
      <c r="R13" s="14">
        <v>78</v>
      </c>
      <c r="S13">
        <v>86</v>
      </c>
      <c r="T13">
        <v>91</v>
      </c>
      <c r="U13">
        <v>73</v>
      </c>
      <c r="V13">
        <v>52</v>
      </c>
      <c r="W13">
        <v>88</v>
      </c>
      <c r="X13">
        <v>69</v>
      </c>
      <c r="Y13">
        <v>59</v>
      </c>
      <c r="Z13" s="14">
        <v>69</v>
      </c>
      <c r="AA13">
        <v>64</v>
      </c>
      <c r="AB13">
        <v>83</v>
      </c>
      <c r="AC13">
        <v>88</v>
      </c>
      <c r="AD13">
        <v>75</v>
      </c>
      <c r="AE13">
        <v>68</v>
      </c>
      <c r="AF13">
        <v>58</v>
      </c>
      <c r="AG13">
        <v>64</v>
      </c>
    </row>
    <row r="14" spans="1:33" x14ac:dyDescent="0.25">
      <c r="A14" t="s">
        <v>120</v>
      </c>
      <c r="B14">
        <v>17</v>
      </c>
      <c r="C14">
        <v>37</v>
      </c>
      <c r="D14">
        <v>25</v>
      </c>
      <c r="E14">
        <v>14</v>
      </c>
      <c r="F14">
        <v>35</v>
      </c>
      <c r="G14">
        <v>40</v>
      </c>
      <c r="H14">
        <v>26</v>
      </c>
      <c r="I14">
        <v>28</v>
      </c>
      <c r="J14" s="14">
        <v>22</v>
      </c>
      <c r="K14">
        <v>30</v>
      </c>
      <c r="L14">
        <v>22</v>
      </c>
      <c r="M14">
        <v>41</v>
      </c>
      <c r="N14">
        <v>35</v>
      </c>
      <c r="O14">
        <v>43</v>
      </c>
      <c r="P14">
        <v>32</v>
      </c>
      <c r="Q14">
        <v>33</v>
      </c>
      <c r="R14" s="14">
        <v>60</v>
      </c>
      <c r="S14">
        <v>36</v>
      </c>
      <c r="T14">
        <v>37</v>
      </c>
      <c r="U14">
        <v>28</v>
      </c>
      <c r="V14">
        <v>30</v>
      </c>
      <c r="W14">
        <v>27</v>
      </c>
      <c r="X14">
        <v>28</v>
      </c>
      <c r="Y14">
        <v>22</v>
      </c>
      <c r="Z14" s="14">
        <v>25</v>
      </c>
      <c r="AA14">
        <v>28</v>
      </c>
      <c r="AB14">
        <v>31</v>
      </c>
      <c r="AC14">
        <v>28</v>
      </c>
      <c r="AD14">
        <v>33</v>
      </c>
      <c r="AE14">
        <v>25</v>
      </c>
      <c r="AF14">
        <v>29</v>
      </c>
      <c r="AG14">
        <v>32</v>
      </c>
    </row>
    <row r="15" spans="1:33" s="4" customFormat="1" x14ac:dyDescent="0.25">
      <c r="A15" s="4" t="s">
        <v>125</v>
      </c>
      <c r="B15" s="4">
        <v>60</v>
      </c>
      <c r="C15" s="4">
        <v>37</v>
      </c>
      <c r="D15" s="4">
        <v>38</v>
      </c>
      <c r="E15" s="4">
        <v>48</v>
      </c>
      <c r="F15" s="4">
        <v>32</v>
      </c>
      <c r="G15" s="4">
        <v>25</v>
      </c>
      <c r="H15" s="4">
        <v>48</v>
      </c>
      <c r="I15" s="4">
        <v>49</v>
      </c>
      <c r="J15" s="16">
        <v>43</v>
      </c>
      <c r="K15" s="4">
        <v>50</v>
      </c>
      <c r="L15" s="4">
        <v>46</v>
      </c>
      <c r="M15" s="4">
        <v>47</v>
      </c>
      <c r="N15" s="4">
        <v>23</v>
      </c>
      <c r="O15" s="4">
        <v>37</v>
      </c>
      <c r="P15" s="4">
        <v>33</v>
      </c>
      <c r="Q15" s="4">
        <v>37</v>
      </c>
      <c r="R15" s="16">
        <v>56</v>
      </c>
      <c r="S15" s="4">
        <v>44</v>
      </c>
      <c r="T15" s="4">
        <v>63</v>
      </c>
      <c r="U15" s="4">
        <v>41</v>
      </c>
      <c r="V15" s="4">
        <v>50</v>
      </c>
      <c r="W15" s="4">
        <v>40</v>
      </c>
      <c r="X15" s="4">
        <v>40</v>
      </c>
      <c r="Y15" s="4">
        <v>50</v>
      </c>
      <c r="Z15" s="16">
        <v>65</v>
      </c>
      <c r="AA15" s="4">
        <v>70</v>
      </c>
      <c r="AB15" s="4">
        <v>61</v>
      </c>
      <c r="AC15" s="4">
        <v>50</v>
      </c>
      <c r="AD15" s="4">
        <v>32</v>
      </c>
      <c r="AE15" s="4">
        <v>39</v>
      </c>
      <c r="AF15" s="4">
        <v>46</v>
      </c>
      <c r="AG15" s="4">
        <v>49</v>
      </c>
    </row>
    <row r="16" spans="1:33" x14ac:dyDescent="0.25">
      <c r="A16" t="s">
        <v>130</v>
      </c>
      <c r="B16">
        <v>64</v>
      </c>
      <c r="C16">
        <v>48</v>
      </c>
      <c r="D16">
        <v>64</v>
      </c>
      <c r="E16">
        <v>47</v>
      </c>
      <c r="F16">
        <v>49</v>
      </c>
      <c r="G16">
        <v>55</v>
      </c>
      <c r="H16">
        <v>64</v>
      </c>
      <c r="I16">
        <v>46</v>
      </c>
      <c r="J16" s="14">
        <v>42</v>
      </c>
      <c r="K16">
        <v>39</v>
      </c>
      <c r="L16">
        <v>75</v>
      </c>
      <c r="M16">
        <v>52</v>
      </c>
      <c r="N16">
        <v>27</v>
      </c>
      <c r="O16">
        <v>35</v>
      </c>
      <c r="P16">
        <v>25</v>
      </c>
      <c r="Q16">
        <v>43</v>
      </c>
      <c r="R16" s="14">
        <v>41</v>
      </c>
      <c r="S16">
        <v>44</v>
      </c>
      <c r="T16">
        <v>61</v>
      </c>
      <c r="U16">
        <v>54</v>
      </c>
      <c r="V16">
        <v>91</v>
      </c>
      <c r="W16">
        <v>50</v>
      </c>
      <c r="X16">
        <v>42</v>
      </c>
      <c r="Y16">
        <v>79</v>
      </c>
      <c r="Z16" s="14">
        <v>70</v>
      </c>
      <c r="AA16">
        <v>69</v>
      </c>
      <c r="AB16">
        <v>48</v>
      </c>
      <c r="AC16">
        <v>61</v>
      </c>
      <c r="AD16">
        <v>70</v>
      </c>
      <c r="AE16">
        <v>61</v>
      </c>
      <c r="AF16">
        <v>45</v>
      </c>
      <c r="AG16">
        <v>60</v>
      </c>
    </row>
    <row r="17" spans="1:33" x14ac:dyDescent="0.25">
      <c r="A17" t="s">
        <v>145</v>
      </c>
      <c r="B17">
        <v>59</v>
      </c>
      <c r="C17">
        <v>66</v>
      </c>
      <c r="D17" s="7"/>
      <c r="E17">
        <v>72</v>
      </c>
      <c r="F17">
        <v>62</v>
      </c>
      <c r="G17">
        <v>81</v>
      </c>
      <c r="H17">
        <v>78</v>
      </c>
      <c r="I17">
        <v>38</v>
      </c>
      <c r="J17" s="14">
        <v>80</v>
      </c>
      <c r="K17">
        <v>73</v>
      </c>
      <c r="L17" s="7"/>
      <c r="M17">
        <v>65</v>
      </c>
      <c r="N17">
        <v>71</v>
      </c>
      <c r="O17">
        <v>69</v>
      </c>
      <c r="P17">
        <v>70</v>
      </c>
      <c r="Q17" s="7"/>
      <c r="R17" s="14">
        <v>64</v>
      </c>
      <c r="S17">
        <v>73</v>
      </c>
      <c r="T17">
        <v>75</v>
      </c>
      <c r="U17">
        <v>61</v>
      </c>
      <c r="V17">
        <v>60</v>
      </c>
      <c r="W17">
        <v>59</v>
      </c>
      <c r="X17">
        <v>65</v>
      </c>
      <c r="Y17" s="7"/>
      <c r="Z17" s="14">
        <v>57</v>
      </c>
      <c r="AA17">
        <v>76</v>
      </c>
      <c r="AB17">
        <v>69</v>
      </c>
      <c r="AC17">
        <v>58</v>
      </c>
      <c r="AD17">
        <v>66</v>
      </c>
      <c r="AE17">
        <v>77</v>
      </c>
      <c r="AF17">
        <v>72</v>
      </c>
      <c r="AG17" s="7"/>
    </row>
    <row r="18" spans="1:33" x14ac:dyDescent="0.25">
      <c r="A18" t="s">
        <v>144</v>
      </c>
      <c r="B18">
        <v>91</v>
      </c>
      <c r="C18">
        <v>91</v>
      </c>
      <c r="D18">
        <v>95</v>
      </c>
      <c r="E18">
        <v>93</v>
      </c>
      <c r="F18">
        <v>89</v>
      </c>
      <c r="G18">
        <v>89</v>
      </c>
      <c r="H18">
        <v>78</v>
      </c>
      <c r="I18">
        <v>81</v>
      </c>
      <c r="J18" s="14">
        <v>77</v>
      </c>
      <c r="K18">
        <v>86</v>
      </c>
      <c r="L18">
        <v>82</v>
      </c>
      <c r="M18">
        <v>89</v>
      </c>
      <c r="N18">
        <v>92</v>
      </c>
      <c r="O18">
        <v>88</v>
      </c>
      <c r="P18">
        <v>89</v>
      </c>
      <c r="Q18">
        <v>84</v>
      </c>
      <c r="R18" s="14">
        <v>92</v>
      </c>
      <c r="S18">
        <v>90</v>
      </c>
      <c r="T18">
        <v>88</v>
      </c>
      <c r="U18">
        <v>90</v>
      </c>
      <c r="V18">
        <v>89</v>
      </c>
      <c r="W18">
        <v>78</v>
      </c>
      <c r="X18">
        <v>93</v>
      </c>
      <c r="Y18">
        <v>79</v>
      </c>
      <c r="Z18" s="14">
        <v>93</v>
      </c>
      <c r="AA18">
        <v>90</v>
      </c>
      <c r="AB18">
        <v>92</v>
      </c>
      <c r="AC18">
        <v>87</v>
      </c>
      <c r="AD18">
        <v>85</v>
      </c>
      <c r="AE18">
        <v>91</v>
      </c>
      <c r="AF18">
        <v>88</v>
      </c>
      <c r="AG18">
        <v>80</v>
      </c>
    </row>
    <row r="19" spans="1:33" x14ac:dyDescent="0.25">
      <c r="A19" t="s">
        <v>132</v>
      </c>
      <c r="B19">
        <v>81</v>
      </c>
      <c r="C19">
        <v>88</v>
      </c>
      <c r="D19">
        <v>93</v>
      </c>
      <c r="E19">
        <v>89</v>
      </c>
      <c r="F19">
        <v>88</v>
      </c>
      <c r="G19">
        <v>89</v>
      </c>
      <c r="H19">
        <v>46</v>
      </c>
      <c r="I19">
        <v>67</v>
      </c>
      <c r="J19" s="14">
        <v>78</v>
      </c>
      <c r="K19">
        <v>86</v>
      </c>
      <c r="L19">
        <v>71</v>
      </c>
      <c r="M19">
        <v>89</v>
      </c>
      <c r="N19">
        <v>80</v>
      </c>
      <c r="O19">
        <v>86</v>
      </c>
      <c r="P19">
        <v>80</v>
      </c>
      <c r="Q19">
        <v>81</v>
      </c>
      <c r="R19" s="14">
        <v>73</v>
      </c>
      <c r="S19">
        <v>87</v>
      </c>
      <c r="T19">
        <v>79</v>
      </c>
      <c r="U19">
        <v>86</v>
      </c>
      <c r="V19">
        <v>80</v>
      </c>
      <c r="W19">
        <v>56</v>
      </c>
      <c r="X19">
        <v>47</v>
      </c>
      <c r="Y19">
        <v>73</v>
      </c>
      <c r="Z19" s="14">
        <v>80</v>
      </c>
      <c r="AA19">
        <v>79</v>
      </c>
      <c r="AB19">
        <v>81</v>
      </c>
      <c r="AC19">
        <v>88</v>
      </c>
      <c r="AD19">
        <v>85</v>
      </c>
      <c r="AE19">
        <v>79</v>
      </c>
      <c r="AF19">
        <v>73</v>
      </c>
      <c r="AG19">
        <v>67</v>
      </c>
    </row>
    <row r="20" spans="1:33" x14ac:dyDescent="0.25">
      <c r="A20" t="s">
        <v>146</v>
      </c>
      <c r="B20">
        <v>38</v>
      </c>
      <c r="C20">
        <v>49</v>
      </c>
      <c r="D20">
        <v>46</v>
      </c>
      <c r="E20">
        <v>42</v>
      </c>
      <c r="F20">
        <v>45</v>
      </c>
      <c r="G20">
        <v>50</v>
      </c>
      <c r="H20">
        <v>52</v>
      </c>
      <c r="I20">
        <v>63</v>
      </c>
      <c r="J20" s="14">
        <v>65</v>
      </c>
      <c r="K20">
        <v>12</v>
      </c>
      <c r="L20">
        <v>32</v>
      </c>
      <c r="M20">
        <v>24</v>
      </c>
      <c r="N20">
        <v>15</v>
      </c>
      <c r="O20">
        <v>39</v>
      </c>
      <c r="P20">
        <v>44</v>
      </c>
      <c r="Q20">
        <v>36</v>
      </c>
      <c r="R20" s="14">
        <v>47</v>
      </c>
      <c r="S20">
        <v>48</v>
      </c>
      <c r="T20">
        <v>0</v>
      </c>
      <c r="U20">
        <v>33</v>
      </c>
      <c r="V20">
        <v>48</v>
      </c>
      <c r="W20">
        <v>29</v>
      </c>
      <c r="X20" s="7"/>
      <c r="Y20">
        <v>17</v>
      </c>
      <c r="Z20" s="14">
        <v>38</v>
      </c>
      <c r="AA20">
        <v>79</v>
      </c>
      <c r="AB20" s="5"/>
      <c r="AC20">
        <v>60</v>
      </c>
      <c r="AD20">
        <v>32</v>
      </c>
      <c r="AE20">
        <v>63</v>
      </c>
      <c r="AF20" s="7"/>
      <c r="AG20">
        <v>28</v>
      </c>
    </row>
    <row r="21" spans="1:33" x14ac:dyDescent="0.25">
      <c r="A21" t="s">
        <v>147</v>
      </c>
      <c r="B21">
        <v>89</v>
      </c>
      <c r="C21">
        <v>84</v>
      </c>
      <c r="D21">
        <v>40</v>
      </c>
      <c r="E21">
        <v>92</v>
      </c>
      <c r="F21">
        <v>46</v>
      </c>
      <c r="G21">
        <v>22</v>
      </c>
      <c r="H21">
        <v>21</v>
      </c>
      <c r="I21">
        <v>47</v>
      </c>
      <c r="J21" s="14">
        <v>80</v>
      </c>
      <c r="K21">
        <v>32</v>
      </c>
      <c r="L21" s="7"/>
      <c r="M21">
        <v>53</v>
      </c>
      <c r="N21">
        <v>29</v>
      </c>
      <c r="O21">
        <v>46</v>
      </c>
      <c r="P21">
        <v>51</v>
      </c>
      <c r="Q21">
        <v>76</v>
      </c>
      <c r="R21" s="14">
        <v>56</v>
      </c>
      <c r="S21">
        <v>90</v>
      </c>
      <c r="T21" s="7"/>
      <c r="U21">
        <v>53</v>
      </c>
      <c r="V21">
        <v>64</v>
      </c>
      <c r="W21">
        <v>72</v>
      </c>
      <c r="X21">
        <v>52</v>
      </c>
      <c r="Y21">
        <v>27</v>
      </c>
      <c r="Z21" s="14">
        <v>62</v>
      </c>
      <c r="AA21">
        <v>28</v>
      </c>
      <c r="AB21">
        <v>33</v>
      </c>
      <c r="AC21">
        <v>39</v>
      </c>
      <c r="AD21">
        <v>42</v>
      </c>
      <c r="AE21">
        <v>56</v>
      </c>
      <c r="AF21" s="7"/>
      <c r="AG21">
        <v>43</v>
      </c>
    </row>
    <row r="22" spans="1:33" x14ac:dyDescent="0.25">
      <c r="A22" t="s">
        <v>155</v>
      </c>
      <c r="B22">
        <v>21</v>
      </c>
      <c r="C22">
        <v>72</v>
      </c>
      <c r="D22">
        <v>45</v>
      </c>
      <c r="E22">
        <v>59</v>
      </c>
      <c r="F22">
        <v>78</v>
      </c>
      <c r="G22">
        <v>39</v>
      </c>
      <c r="H22">
        <v>63</v>
      </c>
      <c r="I22">
        <v>15</v>
      </c>
      <c r="J22" s="14">
        <v>60</v>
      </c>
      <c r="K22">
        <v>34</v>
      </c>
      <c r="L22">
        <v>79</v>
      </c>
      <c r="M22">
        <v>81</v>
      </c>
      <c r="N22">
        <v>58</v>
      </c>
      <c r="O22">
        <v>56</v>
      </c>
      <c r="P22">
        <v>56</v>
      </c>
      <c r="Q22">
        <v>77</v>
      </c>
      <c r="R22" s="14">
        <v>48</v>
      </c>
      <c r="S22">
        <v>7</v>
      </c>
      <c r="T22">
        <v>73</v>
      </c>
      <c r="U22">
        <v>45</v>
      </c>
      <c r="V22">
        <v>1</v>
      </c>
      <c r="W22">
        <v>1</v>
      </c>
      <c r="X22">
        <v>2</v>
      </c>
      <c r="Y22">
        <v>1</v>
      </c>
      <c r="Z22" s="14">
        <v>15</v>
      </c>
      <c r="AA22">
        <v>83</v>
      </c>
      <c r="AB22">
        <v>66</v>
      </c>
      <c r="AC22">
        <v>44</v>
      </c>
      <c r="AD22">
        <v>21</v>
      </c>
      <c r="AE22">
        <v>69</v>
      </c>
      <c r="AF22">
        <v>51</v>
      </c>
      <c r="AG22">
        <v>2</v>
      </c>
    </row>
    <row r="23" spans="1:33" x14ac:dyDescent="0.25">
      <c r="A23" t="s">
        <v>158</v>
      </c>
      <c r="B23">
        <v>19</v>
      </c>
      <c r="C23">
        <v>80</v>
      </c>
      <c r="D23">
        <v>65</v>
      </c>
      <c r="E23">
        <v>4</v>
      </c>
      <c r="F23">
        <v>69</v>
      </c>
      <c r="G23">
        <v>73</v>
      </c>
      <c r="H23">
        <v>80</v>
      </c>
      <c r="I23">
        <v>51</v>
      </c>
      <c r="J23" s="14">
        <v>53</v>
      </c>
      <c r="K23">
        <v>66</v>
      </c>
      <c r="L23" s="7"/>
      <c r="M23">
        <v>3</v>
      </c>
      <c r="N23">
        <v>77</v>
      </c>
      <c r="O23">
        <v>86</v>
      </c>
      <c r="P23">
        <v>81</v>
      </c>
      <c r="Q23">
        <v>81</v>
      </c>
      <c r="R23" s="14">
        <v>67</v>
      </c>
      <c r="S23">
        <v>73</v>
      </c>
      <c r="T23">
        <v>86</v>
      </c>
      <c r="U23">
        <v>83</v>
      </c>
      <c r="V23" s="7"/>
      <c r="W23">
        <v>44</v>
      </c>
      <c r="X23">
        <v>14</v>
      </c>
      <c r="Y23">
        <v>52</v>
      </c>
      <c r="Z23" s="18"/>
      <c r="AA23">
        <v>81</v>
      </c>
      <c r="AB23">
        <v>86</v>
      </c>
      <c r="AC23" s="7"/>
      <c r="AD23" s="7"/>
      <c r="AE23" s="7"/>
      <c r="AF23">
        <v>43</v>
      </c>
      <c r="AG23">
        <v>48</v>
      </c>
    </row>
    <row r="24" spans="1:33" x14ac:dyDescent="0.25">
      <c r="A24" t="s">
        <v>162</v>
      </c>
      <c r="B24">
        <v>28</v>
      </c>
      <c r="C24">
        <v>24</v>
      </c>
      <c r="D24">
        <v>30</v>
      </c>
      <c r="E24">
        <v>28</v>
      </c>
      <c r="F24">
        <v>15</v>
      </c>
      <c r="G24">
        <v>18</v>
      </c>
      <c r="H24">
        <v>10</v>
      </c>
      <c r="I24">
        <v>11</v>
      </c>
      <c r="J24" s="14">
        <v>27</v>
      </c>
      <c r="K24">
        <v>10</v>
      </c>
      <c r="L24">
        <v>12</v>
      </c>
      <c r="M24">
        <v>15</v>
      </c>
      <c r="N24">
        <v>9</v>
      </c>
      <c r="O24">
        <v>13</v>
      </c>
      <c r="P24">
        <v>6</v>
      </c>
      <c r="Q24">
        <v>8</v>
      </c>
      <c r="R24" s="14">
        <v>34</v>
      </c>
      <c r="S24">
        <v>30</v>
      </c>
      <c r="T24">
        <v>20</v>
      </c>
      <c r="U24">
        <v>12</v>
      </c>
      <c r="V24">
        <v>16</v>
      </c>
      <c r="W24">
        <v>7</v>
      </c>
      <c r="X24">
        <v>20</v>
      </c>
      <c r="Y24">
        <v>11</v>
      </c>
      <c r="Z24" s="14">
        <v>32</v>
      </c>
      <c r="AA24">
        <v>33</v>
      </c>
      <c r="AB24">
        <v>20</v>
      </c>
      <c r="AC24">
        <v>18</v>
      </c>
      <c r="AD24">
        <v>13</v>
      </c>
      <c r="AE24">
        <v>11</v>
      </c>
      <c r="AF24">
        <v>17</v>
      </c>
      <c r="AG24">
        <v>7</v>
      </c>
    </row>
    <row r="25" spans="1:33" x14ac:dyDescent="0.25">
      <c r="A25" t="s">
        <v>160</v>
      </c>
      <c r="B25">
        <v>41</v>
      </c>
      <c r="C25">
        <v>35</v>
      </c>
      <c r="D25">
        <v>29</v>
      </c>
      <c r="E25">
        <v>21</v>
      </c>
      <c r="F25">
        <v>18</v>
      </c>
      <c r="G25">
        <v>25</v>
      </c>
      <c r="H25">
        <v>19</v>
      </c>
      <c r="I25">
        <v>21</v>
      </c>
      <c r="J25" s="14">
        <v>31</v>
      </c>
      <c r="K25">
        <v>34</v>
      </c>
      <c r="L25">
        <v>24</v>
      </c>
      <c r="M25">
        <v>23</v>
      </c>
      <c r="N25">
        <v>22</v>
      </c>
      <c r="O25">
        <v>15</v>
      </c>
      <c r="P25">
        <v>10</v>
      </c>
      <c r="Q25">
        <v>12</v>
      </c>
      <c r="R25" s="14">
        <v>22</v>
      </c>
      <c r="S25">
        <v>26</v>
      </c>
      <c r="T25">
        <v>26</v>
      </c>
      <c r="U25">
        <v>16</v>
      </c>
      <c r="V25">
        <v>29</v>
      </c>
      <c r="W25">
        <v>25</v>
      </c>
      <c r="X25">
        <v>10</v>
      </c>
      <c r="Y25">
        <v>9</v>
      </c>
      <c r="Z25" s="14">
        <v>28</v>
      </c>
      <c r="AA25">
        <v>37</v>
      </c>
      <c r="AB25">
        <v>34</v>
      </c>
      <c r="AC25">
        <v>21</v>
      </c>
      <c r="AD25">
        <v>26</v>
      </c>
      <c r="AE25">
        <v>12</v>
      </c>
      <c r="AF25">
        <v>26</v>
      </c>
      <c r="AG25">
        <v>14</v>
      </c>
    </row>
    <row r="26" spans="1:33" x14ac:dyDescent="0.25">
      <c r="A26" t="s">
        <v>173</v>
      </c>
      <c r="B26">
        <v>25</v>
      </c>
      <c r="C26">
        <v>70</v>
      </c>
      <c r="D26">
        <v>66</v>
      </c>
      <c r="E26">
        <v>68</v>
      </c>
      <c r="F26">
        <v>67</v>
      </c>
      <c r="G26">
        <v>67</v>
      </c>
      <c r="H26">
        <v>76</v>
      </c>
      <c r="I26">
        <v>47</v>
      </c>
      <c r="J26" s="14">
        <v>33</v>
      </c>
      <c r="K26">
        <v>73</v>
      </c>
      <c r="L26">
        <v>65</v>
      </c>
      <c r="M26">
        <v>37</v>
      </c>
      <c r="N26">
        <v>50</v>
      </c>
      <c r="O26">
        <v>50</v>
      </c>
      <c r="P26">
        <v>57</v>
      </c>
      <c r="Q26">
        <v>53</v>
      </c>
      <c r="R26" s="14">
        <v>69</v>
      </c>
      <c r="S26">
        <v>75</v>
      </c>
      <c r="T26">
        <v>52</v>
      </c>
      <c r="U26">
        <v>92</v>
      </c>
      <c r="V26">
        <v>69</v>
      </c>
      <c r="W26">
        <v>73</v>
      </c>
      <c r="X26">
        <v>69</v>
      </c>
      <c r="Y26">
        <v>60</v>
      </c>
      <c r="Z26" s="14">
        <v>62</v>
      </c>
      <c r="AA26">
        <v>65</v>
      </c>
      <c r="AB26">
        <v>72</v>
      </c>
      <c r="AC26">
        <v>84</v>
      </c>
      <c r="AD26">
        <v>74</v>
      </c>
      <c r="AE26">
        <v>72</v>
      </c>
      <c r="AF26">
        <v>69</v>
      </c>
      <c r="AG26">
        <v>48</v>
      </c>
    </row>
    <row r="27" spans="1:33" x14ac:dyDescent="0.25">
      <c r="A27" t="s">
        <v>174</v>
      </c>
      <c r="B27">
        <v>56</v>
      </c>
      <c r="C27">
        <v>48</v>
      </c>
      <c r="D27">
        <v>64</v>
      </c>
      <c r="E27">
        <v>65</v>
      </c>
      <c r="F27">
        <v>58</v>
      </c>
      <c r="G27">
        <v>49</v>
      </c>
      <c r="H27">
        <v>54</v>
      </c>
      <c r="I27">
        <v>51</v>
      </c>
      <c r="J27" s="14">
        <v>61</v>
      </c>
      <c r="K27">
        <v>39</v>
      </c>
      <c r="L27">
        <v>37</v>
      </c>
      <c r="M27">
        <v>51</v>
      </c>
      <c r="N27">
        <v>63</v>
      </c>
      <c r="O27">
        <v>52</v>
      </c>
      <c r="P27">
        <v>53</v>
      </c>
      <c r="Q27">
        <v>47</v>
      </c>
      <c r="R27" s="14">
        <v>50</v>
      </c>
      <c r="S27">
        <v>31</v>
      </c>
      <c r="T27">
        <v>23</v>
      </c>
      <c r="U27">
        <v>52</v>
      </c>
      <c r="V27">
        <v>39</v>
      </c>
      <c r="W27">
        <v>34</v>
      </c>
      <c r="X27">
        <v>38</v>
      </c>
      <c r="Y27">
        <v>33</v>
      </c>
      <c r="Z27" s="14">
        <v>44</v>
      </c>
      <c r="AA27">
        <v>40</v>
      </c>
      <c r="AB27">
        <v>25</v>
      </c>
      <c r="AC27">
        <v>49</v>
      </c>
      <c r="AD27">
        <v>55</v>
      </c>
      <c r="AE27">
        <v>34</v>
      </c>
      <c r="AF27">
        <v>31</v>
      </c>
      <c r="AG27">
        <v>28</v>
      </c>
    </row>
    <row r="28" spans="1:33" x14ac:dyDescent="0.25">
      <c r="A28" t="s">
        <v>175</v>
      </c>
      <c r="B28">
        <v>73</v>
      </c>
      <c r="C28">
        <v>70</v>
      </c>
      <c r="D28">
        <v>81</v>
      </c>
      <c r="E28">
        <v>76</v>
      </c>
      <c r="F28">
        <v>68</v>
      </c>
      <c r="G28">
        <v>74</v>
      </c>
      <c r="H28">
        <v>80</v>
      </c>
      <c r="I28">
        <v>80</v>
      </c>
      <c r="J28" s="14">
        <v>58</v>
      </c>
      <c r="K28">
        <v>62</v>
      </c>
      <c r="L28">
        <v>74</v>
      </c>
      <c r="M28">
        <v>74</v>
      </c>
      <c r="N28">
        <v>78</v>
      </c>
      <c r="O28">
        <v>82</v>
      </c>
      <c r="P28">
        <v>86</v>
      </c>
      <c r="Q28">
        <v>51</v>
      </c>
      <c r="R28" s="14">
        <v>67</v>
      </c>
      <c r="S28">
        <v>62</v>
      </c>
      <c r="T28">
        <v>70</v>
      </c>
      <c r="U28">
        <v>75</v>
      </c>
      <c r="V28">
        <v>69</v>
      </c>
      <c r="W28">
        <v>80</v>
      </c>
      <c r="X28">
        <v>81</v>
      </c>
      <c r="Y28">
        <v>62</v>
      </c>
      <c r="Z28" s="14">
        <v>48</v>
      </c>
      <c r="AA28">
        <v>67</v>
      </c>
      <c r="AB28">
        <v>59</v>
      </c>
      <c r="AC28">
        <v>75</v>
      </c>
      <c r="AD28">
        <v>64</v>
      </c>
      <c r="AE28">
        <v>82</v>
      </c>
      <c r="AF28">
        <v>76</v>
      </c>
      <c r="AG28">
        <v>64</v>
      </c>
    </row>
    <row r="29" spans="1:33" x14ac:dyDescent="0.25">
      <c r="A29" t="s">
        <v>187</v>
      </c>
      <c r="B29">
        <v>58</v>
      </c>
      <c r="C29">
        <v>64</v>
      </c>
      <c r="D29">
        <v>65</v>
      </c>
      <c r="E29">
        <v>72</v>
      </c>
      <c r="F29">
        <v>43</v>
      </c>
      <c r="G29">
        <v>46</v>
      </c>
      <c r="H29">
        <v>38</v>
      </c>
      <c r="I29">
        <v>38</v>
      </c>
      <c r="J29" s="14">
        <v>62</v>
      </c>
      <c r="K29">
        <v>60</v>
      </c>
      <c r="L29">
        <v>61</v>
      </c>
      <c r="M29">
        <v>66</v>
      </c>
      <c r="N29">
        <v>37</v>
      </c>
      <c r="O29">
        <v>55</v>
      </c>
      <c r="P29">
        <v>32</v>
      </c>
      <c r="Q29">
        <v>51</v>
      </c>
      <c r="R29" s="14">
        <v>35</v>
      </c>
      <c r="S29">
        <v>57</v>
      </c>
      <c r="T29">
        <v>56</v>
      </c>
      <c r="U29">
        <v>57</v>
      </c>
      <c r="V29">
        <v>51</v>
      </c>
      <c r="W29">
        <v>39</v>
      </c>
      <c r="X29">
        <v>35</v>
      </c>
      <c r="Y29">
        <v>30</v>
      </c>
      <c r="Z29" s="14">
        <v>41</v>
      </c>
      <c r="AA29">
        <v>55</v>
      </c>
      <c r="AB29">
        <v>65</v>
      </c>
      <c r="AC29">
        <v>65</v>
      </c>
      <c r="AD29">
        <v>22</v>
      </c>
      <c r="AE29">
        <v>28</v>
      </c>
      <c r="AF29">
        <v>52</v>
      </c>
      <c r="AG29">
        <v>37</v>
      </c>
    </row>
    <row r="30" spans="1:33" x14ac:dyDescent="0.25">
      <c r="A30" t="s">
        <v>186</v>
      </c>
      <c r="B30">
        <v>49</v>
      </c>
      <c r="C30">
        <v>58</v>
      </c>
      <c r="D30">
        <v>71</v>
      </c>
      <c r="E30">
        <v>56</v>
      </c>
      <c r="F30">
        <v>30</v>
      </c>
      <c r="G30">
        <v>33</v>
      </c>
      <c r="H30">
        <v>7</v>
      </c>
      <c r="I30">
        <v>24</v>
      </c>
      <c r="J30" s="14">
        <v>82</v>
      </c>
      <c r="K30">
        <v>60</v>
      </c>
      <c r="L30">
        <v>85</v>
      </c>
      <c r="M30">
        <v>27</v>
      </c>
      <c r="N30">
        <v>36</v>
      </c>
      <c r="O30">
        <v>29</v>
      </c>
      <c r="P30">
        <v>18</v>
      </c>
      <c r="Q30">
        <v>17</v>
      </c>
      <c r="R30" s="14">
        <v>27</v>
      </c>
      <c r="S30">
        <v>60</v>
      </c>
      <c r="T30">
        <v>6</v>
      </c>
      <c r="U30">
        <v>65</v>
      </c>
      <c r="V30">
        <v>21</v>
      </c>
      <c r="W30">
        <v>16</v>
      </c>
      <c r="X30">
        <v>10</v>
      </c>
      <c r="Y30">
        <v>12</v>
      </c>
      <c r="Z30" s="14">
        <v>51</v>
      </c>
      <c r="AA30">
        <v>4</v>
      </c>
      <c r="AB30">
        <v>15</v>
      </c>
      <c r="AC30">
        <v>46</v>
      </c>
      <c r="AD30">
        <v>23</v>
      </c>
      <c r="AE30">
        <v>11</v>
      </c>
      <c r="AF30">
        <v>4</v>
      </c>
      <c r="AG30">
        <v>24</v>
      </c>
    </row>
    <row r="32" spans="1:33" s="25" customFormat="1" x14ac:dyDescent="0.25">
      <c r="A32" s="25" t="s">
        <v>1</v>
      </c>
      <c r="J32" s="31"/>
      <c r="R32" s="31"/>
      <c r="Z32" s="31"/>
    </row>
    <row r="33" spans="1:33" x14ac:dyDescent="0.25">
      <c r="A33" t="s">
        <v>237</v>
      </c>
      <c r="B33">
        <v>41</v>
      </c>
      <c r="C33">
        <v>12</v>
      </c>
      <c r="D33">
        <v>9</v>
      </c>
      <c r="E33">
        <v>5</v>
      </c>
      <c r="F33">
        <v>8</v>
      </c>
      <c r="G33">
        <v>4</v>
      </c>
      <c r="H33">
        <v>7</v>
      </c>
      <c r="I33">
        <v>13</v>
      </c>
      <c r="J33" s="18"/>
      <c r="K33" s="7"/>
      <c r="L33" s="7"/>
      <c r="M33" s="7"/>
      <c r="N33" s="7"/>
      <c r="O33" s="7"/>
      <c r="P33" s="7"/>
      <c r="Q33" s="7"/>
      <c r="R33" s="14">
        <v>63</v>
      </c>
      <c r="S33">
        <v>22</v>
      </c>
      <c r="T33">
        <v>55</v>
      </c>
      <c r="U33">
        <v>30</v>
      </c>
      <c r="V33">
        <v>67</v>
      </c>
      <c r="X33">
        <v>20</v>
      </c>
      <c r="Y33">
        <v>19</v>
      </c>
      <c r="Z33" s="14">
        <v>67</v>
      </c>
      <c r="AA33">
        <v>23</v>
      </c>
      <c r="AB33">
        <v>26</v>
      </c>
      <c r="AC33">
        <v>32</v>
      </c>
      <c r="AD33">
        <v>5</v>
      </c>
      <c r="AE33">
        <v>34</v>
      </c>
      <c r="AF33">
        <v>39</v>
      </c>
      <c r="AG33">
        <v>11</v>
      </c>
    </row>
    <row r="34" spans="1:33" x14ac:dyDescent="0.25">
      <c r="A34" t="s">
        <v>13</v>
      </c>
      <c r="B34">
        <v>83</v>
      </c>
      <c r="C34">
        <v>83</v>
      </c>
      <c r="D34">
        <v>62</v>
      </c>
      <c r="E34">
        <v>79</v>
      </c>
      <c r="F34">
        <v>75</v>
      </c>
      <c r="G34">
        <v>86</v>
      </c>
      <c r="H34">
        <v>84</v>
      </c>
      <c r="I34">
        <v>84</v>
      </c>
      <c r="J34" s="18"/>
      <c r="K34" s="7"/>
      <c r="L34" s="7"/>
      <c r="M34" s="7"/>
      <c r="N34" s="7"/>
      <c r="O34" s="7"/>
      <c r="P34" s="7"/>
      <c r="Q34" s="7"/>
      <c r="R34" s="14">
        <v>42</v>
      </c>
      <c r="S34">
        <v>59</v>
      </c>
      <c r="T34">
        <v>65</v>
      </c>
      <c r="U34">
        <v>76</v>
      </c>
      <c r="V34">
        <v>69</v>
      </c>
      <c r="W34">
        <v>76</v>
      </c>
      <c r="X34">
        <v>84</v>
      </c>
      <c r="Y34">
        <v>76</v>
      </c>
      <c r="Z34" s="14">
        <v>23</v>
      </c>
      <c r="AA34">
        <v>69</v>
      </c>
      <c r="AB34">
        <v>78</v>
      </c>
      <c r="AC34">
        <v>74</v>
      </c>
      <c r="AD34">
        <v>75</v>
      </c>
      <c r="AE34">
        <v>64</v>
      </c>
      <c r="AF34">
        <v>53</v>
      </c>
      <c r="AG34">
        <v>76</v>
      </c>
    </row>
    <row r="35" spans="1:33" x14ac:dyDescent="0.25">
      <c r="A35" t="s">
        <v>68</v>
      </c>
      <c r="B35">
        <v>69</v>
      </c>
      <c r="C35">
        <v>69</v>
      </c>
      <c r="D35">
        <v>61</v>
      </c>
      <c r="E35">
        <v>82</v>
      </c>
      <c r="F35">
        <v>82</v>
      </c>
      <c r="G35">
        <v>48</v>
      </c>
      <c r="H35">
        <v>59</v>
      </c>
      <c r="I35">
        <v>30</v>
      </c>
      <c r="J35" s="18"/>
      <c r="K35" s="7"/>
      <c r="L35" s="7"/>
      <c r="M35" s="7"/>
      <c r="N35" s="7"/>
      <c r="O35" s="7"/>
      <c r="P35" s="7"/>
      <c r="Q35" s="7"/>
      <c r="R35" s="14">
        <v>69</v>
      </c>
      <c r="S35">
        <v>78</v>
      </c>
      <c r="T35">
        <v>53</v>
      </c>
      <c r="U35">
        <v>88</v>
      </c>
      <c r="V35">
        <v>46</v>
      </c>
      <c r="W35">
        <v>83</v>
      </c>
      <c r="X35">
        <v>44</v>
      </c>
      <c r="Y35">
        <v>53</v>
      </c>
      <c r="Z35" s="14">
        <v>71</v>
      </c>
      <c r="AA35">
        <v>72</v>
      </c>
      <c r="AB35">
        <v>51</v>
      </c>
      <c r="AC35">
        <v>75</v>
      </c>
      <c r="AD35">
        <v>83</v>
      </c>
      <c r="AE35">
        <v>86</v>
      </c>
      <c r="AF35">
        <v>51</v>
      </c>
      <c r="AG35">
        <v>87</v>
      </c>
    </row>
    <row r="36" spans="1:33" x14ac:dyDescent="0.25">
      <c r="A36" t="s">
        <v>69</v>
      </c>
      <c r="B36">
        <v>86</v>
      </c>
      <c r="C36">
        <v>82</v>
      </c>
      <c r="D36">
        <v>84</v>
      </c>
      <c r="E36">
        <v>83</v>
      </c>
      <c r="F36">
        <v>48</v>
      </c>
      <c r="G36">
        <v>78</v>
      </c>
      <c r="H36">
        <v>96</v>
      </c>
      <c r="I36">
        <v>97</v>
      </c>
      <c r="J36" s="14">
        <v>91</v>
      </c>
      <c r="K36">
        <v>82</v>
      </c>
      <c r="L36">
        <v>94</v>
      </c>
      <c r="M36">
        <v>89</v>
      </c>
      <c r="N36">
        <v>87</v>
      </c>
      <c r="O36">
        <v>95</v>
      </c>
      <c r="P36">
        <v>97</v>
      </c>
      <c r="Q36">
        <v>97</v>
      </c>
      <c r="R36" s="14">
        <v>91</v>
      </c>
      <c r="S36">
        <v>75</v>
      </c>
      <c r="T36">
        <v>71</v>
      </c>
      <c r="U36">
        <v>90</v>
      </c>
      <c r="V36">
        <v>89</v>
      </c>
      <c r="W36">
        <v>95</v>
      </c>
      <c r="X36">
        <v>97</v>
      </c>
      <c r="Y36">
        <v>93</v>
      </c>
      <c r="Z36" s="14">
        <v>83</v>
      </c>
      <c r="AA36">
        <v>86</v>
      </c>
      <c r="AB36">
        <v>91</v>
      </c>
      <c r="AC36">
        <v>82</v>
      </c>
      <c r="AD36">
        <v>82</v>
      </c>
      <c r="AE36">
        <v>93</v>
      </c>
      <c r="AF36">
        <v>88</v>
      </c>
      <c r="AG36">
        <v>93</v>
      </c>
    </row>
    <row r="37" spans="1:33" x14ac:dyDescent="0.25">
      <c r="A37" t="s">
        <v>70</v>
      </c>
      <c r="B37">
        <v>76</v>
      </c>
      <c r="C37">
        <v>74</v>
      </c>
      <c r="D37">
        <v>82</v>
      </c>
      <c r="E37">
        <v>63</v>
      </c>
      <c r="F37">
        <v>78</v>
      </c>
      <c r="G37">
        <v>76</v>
      </c>
      <c r="H37">
        <v>91</v>
      </c>
      <c r="I37">
        <v>52</v>
      </c>
      <c r="J37" s="14">
        <v>99</v>
      </c>
      <c r="K37">
        <v>98</v>
      </c>
      <c r="L37">
        <v>96</v>
      </c>
      <c r="M37">
        <v>87</v>
      </c>
      <c r="N37">
        <v>94</v>
      </c>
      <c r="O37">
        <v>87</v>
      </c>
      <c r="P37">
        <v>100</v>
      </c>
      <c r="Q37">
        <v>96</v>
      </c>
      <c r="R37" s="14">
        <v>14</v>
      </c>
      <c r="S37">
        <v>76</v>
      </c>
      <c r="T37">
        <v>23</v>
      </c>
      <c r="U37">
        <v>26</v>
      </c>
      <c r="V37">
        <v>47</v>
      </c>
      <c r="W37">
        <v>66</v>
      </c>
      <c r="X37">
        <v>75</v>
      </c>
      <c r="Y37">
        <v>44</v>
      </c>
      <c r="Z37" s="14">
        <v>33</v>
      </c>
      <c r="AA37">
        <v>27</v>
      </c>
      <c r="AB37">
        <v>29</v>
      </c>
      <c r="AC37">
        <v>19</v>
      </c>
      <c r="AD37">
        <v>62</v>
      </c>
      <c r="AE37">
        <v>73</v>
      </c>
      <c r="AF37">
        <v>80</v>
      </c>
      <c r="AG37">
        <v>68</v>
      </c>
    </row>
    <row r="38" spans="1:33" x14ac:dyDescent="0.25">
      <c r="A38" t="s">
        <v>74</v>
      </c>
      <c r="B38">
        <v>32</v>
      </c>
      <c r="C38">
        <v>50</v>
      </c>
      <c r="D38">
        <v>31</v>
      </c>
      <c r="E38">
        <v>48</v>
      </c>
      <c r="F38">
        <v>39</v>
      </c>
      <c r="G38">
        <v>39</v>
      </c>
      <c r="H38">
        <v>61</v>
      </c>
      <c r="I38">
        <v>50</v>
      </c>
      <c r="J38" s="14">
        <v>65</v>
      </c>
      <c r="K38">
        <v>61</v>
      </c>
      <c r="L38">
        <v>50</v>
      </c>
      <c r="M38">
        <v>49</v>
      </c>
      <c r="N38">
        <v>60</v>
      </c>
      <c r="O38">
        <v>73</v>
      </c>
      <c r="P38">
        <v>71</v>
      </c>
      <c r="Q38">
        <v>50</v>
      </c>
      <c r="R38" s="14">
        <v>76</v>
      </c>
      <c r="S38">
        <v>33</v>
      </c>
      <c r="T38">
        <v>63</v>
      </c>
      <c r="U38">
        <v>51</v>
      </c>
      <c r="V38">
        <v>55</v>
      </c>
      <c r="W38">
        <v>68</v>
      </c>
      <c r="X38">
        <v>67</v>
      </c>
      <c r="Y38">
        <v>52</v>
      </c>
      <c r="Z38" s="14">
        <v>74</v>
      </c>
      <c r="AA38">
        <v>81</v>
      </c>
      <c r="AB38">
        <v>70</v>
      </c>
      <c r="AC38">
        <v>50</v>
      </c>
      <c r="AD38">
        <v>54</v>
      </c>
      <c r="AE38">
        <v>52</v>
      </c>
      <c r="AF38">
        <v>46</v>
      </c>
      <c r="AG38">
        <v>51</v>
      </c>
    </row>
    <row r="39" spans="1:33" x14ac:dyDescent="0.25">
      <c r="A39" t="s">
        <v>79</v>
      </c>
      <c r="B39">
        <v>51</v>
      </c>
      <c r="C39">
        <v>75</v>
      </c>
      <c r="D39">
        <v>61</v>
      </c>
      <c r="E39">
        <v>76</v>
      </c>
      <c r="F39">
        <v>93</v>
      </c>
      <c r="G39">
        <v>81</v>
      </c>
      <c r="H39">
        <v>90</v>
      </c>
      <c r="I39">
        <v>72</v>
      </c>
      <c r="J39" s="14">
        <v>67</v>
      </c>
      <c r="K39">
        <v>89</v>
      </c>
      <c r="L39">
        <v>71</v>
      </c>
      <c r="M39">
        <v>64</v>
      </c>
      <c r="N39">
        <v>57</v>
      </c>
      <c r="O39">
        <v>69</v>
      </c>
      <c r="P39">
        <v>49</v>
      </c>
      <c r="Q39">
        <v>63</v>
      </c>
      <c r="R39" s="14">
        <v>70</v>
      </c>
      <c r="S39">
        <v>64</v>
      </c>
      <c r="T39">
        <v>73</v>
      </c>
      <c r="U39">
        <v>76</v>
      </c>
      <c r="V39">
        <v>86</v>
      </c>
      <c r="W39">
        <v>62</v>
      </c>
      <c r="X39">
        <v>83</v>
      </c>
      <c r="Y39">
        <v>82</v>
      </c>
      <c r="Z39" s="14">
        <v>67</v>
      </c>
      <c r="AA39">
        <v>83</v>
      </c>
      <c r="AB39">
        <v>80</v>
      </c>
      <c r="AC39">
        <v>71</v>
      </c>
      <c r="AD39">
        <v>82</v>
      </c>
      <c r="AE39">
        <v>52</v>
      </c>
      <c r="AF39">
        <v>92</v>
      </c>
      <c r="AG39">
        <v>94</v>
      </c>
    </row>
    <row r="40" spans="1:33" x14ac:dyDescent="0.25">
      <c r="A40" t="s">
        <v>80</v>
      </c>
      <c r="B40">
        <v>99</v>
      </c>
      <c r="C40">
        <v>76</v>
      </c>
      <c r="D40">
        <v>33</v>
      </c>
      <c r="E40">
        <v>59</v>
      </c>
      <c r="F40">
        <v>73</v>
      </c>
      <c r="G40">
        <v>59</v>
      </c>
      <c r="H40">
        <v>72</v>
      </c>
      <c r="I40">
        <v>67</v>
      </c>
      <c r="J40" s="14">
        <v>50</v>
      </c>
      <c r="K40">
        <v>50</v>
      </c>
      <c r="L40">
        <v>36</v>
      </c>
      <c r="M40">
        <v>67</v>
      </c>
      <c r="N40">
        <v>60</v>
      </c>
      <c r="O40">
        <v>52</v>
      </c>
      <c r="P40">
        <v>59</v>
      </c>
      <c r="Q40">
        <v>62</v>
      </c>
      <c r="R40" s="14">
        <v>7</v>
      </c>
      <c r="S40">
        <v>67</v>
      </c>
      <c r="T40">
        <v>23</v>
      </c>
      <c r="U40">
        <v>17</v>
      </c>
      <c r="V40">
        <v>61</v>
      </c>
      <c r="W40">
        <v>20</v>
      </c>
      <c r="X40">
        <v>60</v>
      </c>
      <c r="Y40">
        <v>65</v>
      </c>
      <c r="Z40" s="14">
        <v>66</v>
      </c>
      <c r="AA40">
        <v>64</v>
      </c>
      <c r="AB40">
        <v>13</v>
      </c>
      <c r="AC40">
        <v>84</v>
      </c>
      <c r="AD40">
        <v>42</v>
      </c>
      <c r="AE40">
        <v>61</v>
      </c>
      <c r="AF40">
        <v>47</v>
      </c>
      <c r="AG40">
        <v>52</v>
      </c>
    </row>
    <row r="41" spans="1:33" x14ac:dyDescent="0.25">
      <c r="A41" t="s">
        <v>86</v>
      </c>
      <c r="B41">
        <v>45</v>
      </c>
      <c r="C41">
        <v>67</v>
      </c>
      <c r="D41">
        <v>83</v>
      </c>
      <c r="E41">
        <v>64</v>
      </c>
      <c r="F41">
        <v>72</v>
      </c>
      <c r="G41">
        <v>65</v>
      </c>
      <c r="H41">
        <v>72</v>
      </c>
      <c r="I41">
        <v>71</v>
      </c>
      <c r="J41" s="14">
        <v>81</v>
      </c>
      <c r="K41">
        <v>78</v>
      </c>
      <c r="L41">
        <v>66</v>
      </c>
      <c r="M41">
        <v>59</v>
      </c>
      <c r="N41">
        <v>59</v>
      </c>
      <c r="O41">
        <v>67</v>
      </c>
      <c r="P41">
        <v>63</v>
      </c>
      <c r="Q41">
        <v>86</v>
      </c>
      <c r="R41" s="14">
        <v>50</v>
      </c>
      <c r="S41">
        <v>72</v>
      </c>
      <c r="T41">
        <v>76</v>
      </c>
      <c r="U41">
        <v>40</v>
      </c>
      <c r="V41">
        <v>62</v>
      </c>
      <c r="W41">
        <v>74</v>
      </c>
      <c r="X41">
        <v>73</v>
      </c>
      <c r="Y41">
        <v>74</v>
      </c>
      <c r="Z41" s="14">
        <v>58</v>
      </c>
      <c r="AA41">
        <v>76</v>
      </c>
      <c r="AB41">
        <v>75</v>
      </c>
      <c r="AC41">
        <v>68</v>
      </c>
      <c r="AD41">
        <v>68</v>
      </c>
      <c r="AE41">
        <v>72</v>
      </c>
      <c r="AF41">
        <v>76</v>
      </c>
      <c r="AG41">
        <v>74</v>
      </c>
    </row>
    <row r="42" spans="1:33" x14ac:dyDescent="0.25">
      <c r="A42" t="s">
        <v>92</v>
      </c>
      <c r="B42">
        <v>63</v>
      </c>
      <c r="C42">
        <v>49</v>
      </c>
      <c r="D42">
        <v>23</v>
      </c>
      <c r="E42">
        <v>77</v>
      </c>
      <c r="F42">
        <v>23</v>
      </c>
      <c r="G42">
        <v>73</v>
      </c>
      <c r="H42">
        <v>81</v>
      </c>
      <c r="I42">
        <v>84</v>
      </c>
      <c r="J42" s="14">
        <v>73</v>
      </c>
      <c r="K42">
        <v>10</v>
      </c>
      <c r="L42">
        <v>55</v>
      </c>
      <c r="M42">
        <v>77</v>
      </c>
      <c r="N42">
        <v>76</v>
      </c>
      <c r="O42">
        <v>74</v>
      </c>
      <c r="P42">
        <v>71</v>
      </c>
      <c r="Q42">
        <v>78</v>
      </c>
      <c r="R42" s="14">
        <v>62</v>
      </c>
      <c r="S42">
        <v>46</v>
      </c>
      <c r="T42">
        <v>20</v>
      </c>
      <c r="U42">
        <v>80</v>
      </c>
      <c r="V42">
        <v>35</v>
      </c>
      <c r="W42">
        <v>9</v>
      </c>
      <c r="X42">
        <v>83</v>
      </c>
      <c r="Y42">
        <v>87</v>
      </c>
      <c r="Z42" s="14">
        <v>68</v>
      </c>
      <c r="AA42">
        <v>46</v>
      </c>
      <c r="AB42">
        <v>45</v>
      </c>
      <c r="AC42">
        <v>64</v>
      </c>
      <c r="AD42">
        <v>73</v>
      </c>
      <c r="AE42">
        <v>30</v>
      </c>
      <c r="AF42">
        <v>78</v>
      </c>
      <c r="AG42">
        <v>81</v>
      </c>
    </row>
    <row r="43" spans="1:33" x14ac:dyDescent="0.25">
      <c r="A43" t="s">
        <v>93</v>
      </c>
      <c r="B43">
        <v>40</v>
      </c>
      <c r="C43">
        <v>30</v>
      </c>
      <c r="D43">
        <v>62</v>
      </c>
      <c r="E43">
        <v>50</v>
      </c>
      <c r="F43">
        <v>47</v>
      </c>
      <c r="G43">
        <v>23</v>
      </c>
      <c r="H43">
        <v>3</v>
      </c>
      <c r="I43">
        <v>10</v>
      </c>
      <c r="J43" s="14">
        <v>38</v>
      </c>
      <c r="K43">
        <v>52</v>
      </c>
      <c r="L43">
        <v>64</v>
      </c>
      <c r="M43">
        <v>27</v>
      </c>
      <c r="N43">
        <v>17</v>
      </c>
      <c r="O43">
        <v>19</v>
      </c>
      <c r="P43">
        <v>13</v>
      </c>
      <c r="Q43">
        <v>8</v>
      </c>
      <c r="R43" s="14">
        <v>22</v>
      </c>
      <c r="S43">
        <v>31</v>
      </c>
      <c r="T43">
        <v>34</v>
      </c>
      <c r="U43">
        <v>30</v>
      </c>
      <c r="V43">
        <v>21</v>
      </c>
      <c r="W43">
        <v>12</v>
      </c>
      <c r="X43">
        <v>8</v>
      </c>
      <c r="Y43">
        <v>9</v>
      </c>
      <c r="Z43" s="14">
        <v>23</v>
      </c>
      <c r="AA43">
        <v>21</v>
      </c>
      <c r="AB43">
        <v>31</v>
      </c>
      <c r="AC43">
        <v>8</v>
      </c>
      <c r="AD43">
        <v>21</v>
      </c>
      <c r="AE43">
        <v>10</v>
      </c>
      <c r="AF43">
        <v>9</v>
      </c>
      <c r="AG43">
        <v>12</v>
      </c>
    </row>
    <row r="44" spans="1:33" x14ac:dyDescent="0.25">
      <c r="A44" t="s">
        <v>110</v>
      </c>
      <c r="B44">
        <v>83</v>
      </c>
      <c r="C44">
        <v>86</v>
      </c>
      <c r="D44">
        <v>91</v>
      </c>
      <c r="E44">
        <v>100</v>
      </c>
      <c r="F44">
        <v>84</v>
      </c>
      <c r="G44">
        <v>96</v>
      </c>
      <c r="H44">
        <v>84</v>
      </c>
      <c r="I44">
        <v>92</v>
      </c>
      <c r="J44" s="14">
        <v>84</v>
      </c>
      <c r="K44">
        <v>82</v>
      </c>
      <c r="L44">
        <v>70</v>
      </c>
      <c r="M44">
        <v>81</v>
      </c>
      <c r="N44">
        <v>85</v>
      </c>
      <c r="O44">
        <v>79</v>
      </c>
      <c r="P44">
        <v>77</v>
      </c>
      <c r="Q44">
        <v>88</v>
      </c>
      <c r="R44" s="14">
        <v>92</v>
      </c>
      <c r="S44">
        <v>84</v>
      </c>
      <c r="T44">
        <v>84</v>
      </c>
      <c r="U44">
        <v>80</v>
      </c>
      <c r="V44">
        <v>93</v>
      </c>
      <c r="W44">
        <v>88</v>
      </c>
      <c r="X44">
        <v>100</v>
      </c>
      <c r="Y44">
        <v>84</v>
      </c>
      <c r="Z44" s="14">
        <v>84</v>
      </c>
      <c r="AA44">
        <v>84</v>
      </c>
      <c r="AB44">
        <v>100</v>
      </c>
      <c r="AC44">
        <v>100</v>
      </c>
      <c r="AD44">
        <v>89</v>
      </c>
      <c r="AE44">
        <v>86</v>
      </c>
      <c r="AF44">
        <v>93</v>
      </c>
      <c r="AG44">
        <v>86</v>
      </c>
    </row>
    <row r="45" spans="1:33" x14ac:dyDescent="0.25">
      <c r="A45" t="s">
        <v>120</v>
      </c>
      <c r="B45">
        <v>61</v>
      </c>
      <c r="C45">
        <v>58</v>
      </c>
      <c r="D45">
        <v>43</v>
      </c>
      <c r="E45" s="7"/>
      <c r="F45">
        <v>63</v>
      </c>
      <c r="G45">
        <v>39</v>
      </c>
      <c r="H45">
        <v>41</v>
      </c>
      <c r="I45">
        <v>43</v>
      </c>
      <c r="J45" s="14">
        <v>65</v>
      </c>
      <c r="K45">
        <v>71</v>
      </c>
      <c r="L45">
        <v>65</v>
      </c>
      <c r="M45" s="7"/>
      <c r="N45">
        <v>42</v>
      </c>
      <c r="O45">
        <v>36</v>
      </c>
      <c r="P45">
        <v>46</v>
      </c>
      <c r="Q45">
        <v>51</v>
      </c>
      <c r="R45" s="14">
        <v>48</v>
      </c>
      <c r="S45">
        <v>41</v>
      </c>
      <c r="T45">
        <v>30</v>
      </c>
      <c r="U45" s="7"/>
      <c r="V45">
        <v>31</v>
      </c>
      <c r="W45">
        <v>31</v>
      </c>
      <c r="X45">
        <v>29</v>
      </c>
      <c r="Y45">
        <v>46</v>
      </c>
      <c r="Z45" s="14">
        <v>55</v>
      </c>
      <c r="AA45">
        <v>33</v>
      </c>
      <c r="AB45">
        <v>40</v>
      </c>
      <c r="AC45" s="7"/>
      <c r="AD45">
        <v>20</v>
      </c>
      <c r="AE45">
        <v>34</v>
      </c>
      <c r="AF45">
        <v>34</v>
      </c>
      <c r="AG45">
        <v>49</v>
      </c>
    </row>
    <row r="46" spans="1:33" s="4" customFormat="1" x14ac:dyDescent="0.25">
      <c r="A46" s="4" t="s">
        <v>125</v>
      </c>
      <c r="B46" s="4">
        <v>18</v>
      </c>
      <c r="C46" s="4">
        <v>29</v>
      </c>
      <c r="D46" s="4">
        <v>48</v>
      </c>
      <c r="E46" s="4">
        <v>40</v>
      </c>
      <c r="F46" s="4">
        <v>69</v>
      </c>
      <c r="G46" s="4">
        <v>39</v>
      </c>
      <c r="H46" s="4">
        <v>52</v>
      </c>
      <c r="I46" s="4">
        <v>34</v>
      </c>
      <c r="J46" s="16">
        <v>67</v>
      </c>
      <c r="K46" s="4">
        <v>40</v>
      </c>
      <c r="L46" s="4">
        <v>47</v>
      </c>
      <c r="M46" s="4">
        <v>39</v>
      </c>
      <c r="N46" s="4">
        <v>11</v>
      </c>
      <c r="O46" s="4">
        <v>29</v>
      </c>
      <c r="P46" s="4">
        <v>50</v>
      </c>
      <c r="Q46" s="4">
        <v>26</v>
      </c>
      <c r="R46" s="16">
        <v>69</v>
      </c>
      <c r="S46" s="4">
        <v>74</v>
      </c>
      <c r="T46" s="4">
        <v>57</v>
      </c>
      <c r="U46" s="4">
        <v>51</v>
      </c>
      <c r="V46" s="4">
        <v>86</v>
      </c>
      <c r="W46" s="4">
        <v>49</v>
      </c>
      <c r="X46" s="4">
        <v>35</v>
      </c>
      <c r="Y46" s="4">
        <v>63</v>
      </c>
      <c r="Z46" s="16">
        <v>53</v>
      </c>
      <c r="AA46" s="4">
        <v>49</v>
      </c>
      <c r="AB46" s="4">
        <v>55</v>
      </c>
      <c r="AC46" s="4">
        <v>41</v>
      </c>
      <c r="AD46" s="4">
        <v>67</v>
      </c>
      <c r="AE46" s="4">
        <v>69</v>
      </c>
      <c r="AF46" s="4">
        <v>35</v>
      </c>
      <c r="AG46" s="4">
        <v>49</v>
      </c>
    </row>
    <row r="47" spans="1:33" x14ac:dyDescent="0.25">
      <c r="A47" t="s">
        <v>130</v>
      </c>
      <c r="B47" s="4">
        <v>55</v>
      </c>
      <c r="C47" s="4">
        <v>4</v>
      </c>
      <c r="D47" s="4">
        <v>48</v>
      </c>
      <c r="E47" s="4">
        <v>42</v>
      </c>
      <c r="F47" s="4">
        <v>44</v>
      </c>
      <c r="G47" s="4">
        <v>43</v>
      </c>
      <c r="H47" s="4">
        <v>35</v>
      </c>
      <c r="I47" s="4">
        <v>41</v>
      </c>
      <c r="J47" s="14">
        <v>10</v>
      </c>
      <c r="K47" s="4">
        <v>25</v>
      </c>
      <c r="L47" s="4">
        <v>41</v>
      </c>
      <c r="M47" s="19">
        <v>25</v>
      </c>
      <c r="N47" s="19">
        <v>19</v>
      </c>
      <c r="O47" s="19">
        <v>21</v>
      </c>
      <c r="P47" s="19">
        <v>28</v>
      </c>
      <c r="Q47" s="19">
        <v>16</v>
      </c>
      <c r="R47" s="14">
        <v>40</v>
      </c>
      <c r="S47" s="4">
        <v>41</v>
      </c>
      <c r="T47" s="4">
        <v>38</v>
      </c>
      <c r="U47" s="19">
        <v>39</v>
      </c>
      <c r="V47" s="19">
        <v>57</v>
      </c>
      <c r="W47" s="19">
        <v>50</v>
      </c>
      <c r="X47" s="19">
        <v>37</v>
      </c>
      <c r="Y47" s="19">
        <v>17</v>
      </c>
      <c r="Z47" s="14">
        <v>45</v>
      </c>
      <c r="AA47" s="4">
        <v>43</v>
      </c>
      <c r="AB47" s="4">
        <v>45</v>
      </c>
      <c r="AC47" s="19">
        <v>49</v>
      </c>
      <c r="AD47" s="19">
        <v>29</v>
      </c>
      <c r="AE47" s="19">
        <v>44</v>
      </c>
      <c r="AF47" s="19">
        <v>28</v>
      </c>
      <c r="AG47" s="19">
        <v>61</v>
      </c>
    </row>
    <row r="48" spans="1:33" x14ac:dyDescent="0.25">
      <c r="A48" t="s">
        <v>145</v>
      </c>
      <c r="B48" s="4">
        <v>79</v>
      </c>
      <c r="C48" s="4">
        <v>63</v>
      </c>
      <c r="D48" s="4">
        <v>66</v>
      </c>
      <c r="E48" s="4">
        <v>75</v>
      </c>
      <c r="F48" s="4">
        <v>93</v>
      </c>
      <c r="G48" s="4">
        <v>78</v>
      </c>
      <c r="H48" s="4">
        <v>77</v>
      </c>
      <c r="I48" s="4">
        <v>81</v>
      </c>
      <c r="J48" s="14">
        <v>88</v>
      </c>
      <c r="K48" s="4">
        <v>93</v>
      </c>
      <c r="L48" s="4">
        <v>81</v>
      </c>
      <c r="M48" s="19">
        <v>46</v>
      </c>
      <c r="N48" s="19">
        <v>55</v>
      </c>
      <c r="O48" s="19">
        <v>85</v>
      </c>
      <c r="P48" s="19">
        <v>73</v>
      </c>
      <c r="Q48" s="19">
        <v>83</v>
      </c>
      <c r="R48" s="14">
        <v>48</v>
      </c>
      <c r="S48" s="5"/>
      <c r="T48" s="4">
        <v>82</v>
      </c>
      <c r="U48">
        <v>73</v>
      </c>
      <c r="V48" s="19">
        <v>97</v>
      </c>
      <c r="W48" s="19">
        <v>68</v>
      </c>
      <c r="X48" s="19">
        <v>86</v>
      </c>
      <c r="Y48" s="19">
        <v>87</v>
      </c>
      <c r="Z48" s="14">
        <v>56</v>
      </c>
      <c r="AA48" s="5"/>
      <c r="AB48" s="4">
        <v>51</v>
      </c>
      <c r="AC48">
        <v>59</v>
      </c>
      <c r="AD48" s="19">
        <v>46</v>
      </c>
      <c r="AE48" s="19">
        <v>86</v>
      </c>
      <c r="AF48" s="19">
        <v>90</v>
      </c>
    </row>
    <row r="49" spans="1:39" x14ac:dyDescent="0.25">
      <c r="A49" t="s">
        <v>144</v>
      </c>
      <c r="B49">
        <v>84</v>
      </c>
      <c r="C49">
        <v>92</v>
      </c>
      <c r="D49">
        <v>89</v>
      </c>
      <c r="E49">
        <v>91</v>
      </c>
      <c r="F49">
        <v>96</v>
      </c>
      <c r="G49">
        <v>92</v>
      </c>
      <c r="H49">
        <v>93</v>
      </c>
      <c r="I49">
        <v>91</v>
      </c>
      <c r="J49" s="14">
        <v>82</v>
      </c>
      <c r="K49">
        <v>77</v>
      </c>
      <c r="L49">
        <v>71</v>
      </c>
      <c r="M49">
        <v>88</v>
      </c>
      <c r="N49">
        <v>86</v>
      </c>
      <c r="O49">
        <v>85</v>
      </c>
      <c r="P49">
        <v>95</v>
      </c>
      <c r="Q49">
        <v>88</v>
      </c>
      <c r="R49" s="14">
        <v>77</v>
      </c>
      <c r="S49">
        <v>88</v>
      </c>
      <c r="T49">
        <v>72</v>
      </c>
      <c r="U49">
        <v>89</v>
      </c>
      <c r="V49">
        <v>94</v>
      </c>
      <c r="W49">
        <v>89</v>
      </c>
      <c r="X49">
        <v>84</v>
      </c>
      <c r="Y49">
        <v>80</v>
      </c>
      <c r="Z49" s="14">
        <v>89</v>
      </c>
      <c r="AA49">
        <v>81</v>
      </c>
      <c r="AB49">
        <v>70</v>
      </c>
      <c r="AC49">
        <v>93</v>
      </c>
      <c r="AD49">
        <v>90</v>
      </c>
      <c r="AE49">
        <v>95</v>
      </c>
      <c r="AF49">
        <v>86</v>
      </c>
      <c r="AG49">
        <v>84</v>
      </c>
    </row>
    <row r="50" spans="1:39" x14ac:dyDescent="0.25">
      <c r="A50" t="s">
        <v>132</v>
      </c>
      <c r="B50">
        <v>89</v>
      </c>
      <c r="C50">
        <v>79</v>
      </c>
      <c r="D50">
        <v>90</v>
      </c>
      <c r="E50">
        <v>80</v>
      </c>
      <c r="F50">
        <v>82</v>
      </c>
      <c r="G50">
        <v>78</v>
      </c>
      <c r="H50">
        <v>91</v>
      </c>
      <c r="I50">
        <v>73</v>
      </c>
      <c r="J50" s="14">
        <v>94</v>
      </c>
      <c r="K50">
        <v>80</v>
      </c>
      <c r="L50">
        <v>79</v>
      </c>
      <c r="M50">
        <v>74</v>
      </c>
      <c r="N50">
        <v>77</v>
      </c>
      <c r="O50">
        <v>82</v>
      </c>
      <c r="P50">
        <v>58</v>
      </c>
      <c r="Q50">
        <v>71</v>
      </c>
      <c r="R50" s="14">
        <v>90</v>
      </c>
      <c r="S50">
        <v>66</v>
      </c>
      <c r="T50">
        <v>33</v>
      </c>
      <c r="U50">
        <v>73</v>
      </c>
      <c r="V50">
        <v>81</v>
      </c>
      <c r="W50">
        <v>83</v>
      </c>
      <c r="X50">
        <v>68</v>
      </c>
      <c r="Y50">
        <v>86</v>
      </c>
      <c r="Z50" s="14">
        <v>64</v>
      </c>
      <c r="AA50">
        <v>74</v>
      </c>
      <c r="AB50">
        <v>67</v>
      </c>
      <c r="AC50">
        <v>84</v>
      </c>
      <c r="AD50">
        <v>73</v>
      </c>
      <c r="AE50">
        <v>79</v>
      </c>
      <c r="AF50">
        <v>78</v>
      </c>
      <c r="AG50">
        <v>84</v>
      </c>
    </row>
    <row r="51" spans="1:39" x14ac:dyDescent="0.25">
      <c r="A51" t="s">
        <v>146</v>
      </c>
      <c r="B51">
        <v>54</v>
      </c>
      <c r="C51">
        <v>57</v>
      </c>
      <c r="D51">
        <v>39</v>
      </c>
      <c r="E51">
        <v>46</v>
      </c>
      <c r="F51">
        <v>37</v>
      </c>
      <c r="G51">
        <v>55</v>
      </c>
      <c r="H51">
        <v>24</v>
      </c>
      <c r="I51">
        <v>38</v>
      </c>
      <c r="J51" s="14">
        <v>54</v>
      </c>
      <c r="K51">
        <v>30</v>
      </c>
      <c r="L51">
        <v>34</v>
      </c>
      <c r="M51">
        <v>43</v>
      </c>
      <c r="N51">
        <v>34</v>
      </c>
      <c r="O51">
        <v>50</v>
      </c>
      <c r="P51">
        <v>39</v>
      </c>
      <c r="Q51">
        <v>44</v>
      </c>
      <c r="R51" s="14">
        <v>34</v>
      </c>
      <c r="S51">
        <v>27</v>
      </c>
      <c r="T51">
        <v>36</v>
      </c>
      <c r="U51">
        <v>29</v>
      </c>
      <c r="V51">
        <v>25</v>
      </c>
      <c r="W51">
        <v>30</v>
      </c>
      <c r="X51">
        <v>39</v>
      </c>
      <c r="Y51">
        <v>40</v>
      </c>
      <c r="Z51" s="14">
        <v>37</v>
      </c>
      <c r="AA51">
        <v>22</v>
      </c>
      <c r="AB51">
        <v>27</v>
      </c>
      <c r="AC51">
        <v>50</v>
      </c>
      <c r="AD51">
        <v>28</v>
      </c>
      <c r="AE51">
        <v>31</v>
      </c>
      <c r="AF51">
        <v>46</v>
      </c>
      <c r="AG51">
        <v>42</v>
      </c>
    </row>
    <row r="52" spans="1:39" x14ac:dyDescent="0.25">
      <c r="A52" t="s">
        <v>147</v>
      </c>
      <c r="B52">
        <v>62</v>
      </c>
      <c r="C52">
        <v>57</v>
      </c>
      <c r="D52">
        <v>87</v>
      </c>
      <c r="E52">
        <v>66</v>
      </c>
      <c r="F52">
        <v>84</v>
      </c>
      <c r="G52">
        <v>65</v>
      </c>
      <c r="H52">
        <v>49</v>
      </c>
      <c r="I52">
        <v>27</v>
      </c>
      <c r="J52" s="14">
        <v>39</v>
      </c>
      <c r="K52">
        <v>24</v>
      </c>
      <c r="L52">
        <v>75</v>
      </c>
      <c r="M52">
        <v>15</v>
      </c>
      <c r="N52">
        <v>85</v>
      </c>
      <c r="O52">
        <v>22</v>
      </c>
      <c r="P52">
        <v>88</v>
      </c>
      <c r="Q52">
        <v>66</v>
      </c>
      <c r="R52" s="14">
        <v>75</v>
      </c>
      <c r="S52">
        <v>7</v>
      </c>
      <c r="T52">
        <v>27</v>
      </c>
      <c r="U52">
        <v>33</v>
      </c>
      <c r="V52">
        <v>69</v>
      </c>
      <c r="W52">
        <v>11</v>
      </c>
      <c r="X52">
        <v>31</v>
      </c>
      <c r="Y52">
        <v>48</v>
      </c>
      <c r="Z52" s="14">
        <v>13</v>
      </c>
      <c r="AA52">
        <v>39</v>
      </c>
      <c r="AB52">
        <v>23</v>
      </c>
      <c r="AC52">
        <v>16</v>
      </c>
      <c r="AD52">
        <v>27</v>
      </c>
      <c r="AE52">
        <v>30</v>
      </c>
      <c r="AF52">
        <v>69</v>
      </c>
      <c r="AG52">
        <v>19</v>
      </c>
    </row>
    <row r="53" spans="1:39" x14ac:dyDescent="0.25">
      <c r="A53" t="s">
        <v>155</v>
      </c>
      <c r="B53">
        <v>72</v>
      </c>
      <c r="C53">
        <v>70</v>
      </c>
      <c r="D53">
        <v>73</v>
      </c>
      <c r="E53" s="5"/>
      <c r="F53">
        <v>40</v>
      </c>
      <c r="G53">
        <v>69</v>
      </c>
      <c r="H53">
        <v>66</v>
      </c>
      <c r="I53">
        <v>44</v>
      </c>
      <c r="J53" s="14">
        <v>60</v>
      </c>
      <c r="K53">
        <v>65</v>
      </c>
      <c r="L53">
        <v>60</v>
      </c>
      <c r="M53" s="5"/>
      <c r="N53">
        <v>56</v>
      </c>
      <c r="O53">
        <v>63</v>
      </c>
      <c r="P53">
        <v>63</v>
      </c>
      <c r="Q53">
        <v>75</v>
      </c>
      <c r="R53" s="14">
        <v>90</v>
      </c>
      <c r="S53">
        <v>89</v>
      </c>
      <c r="T53">
        <v>61</v>
      </c>
      <c r="U53" s="5"/>
      <c r="V53">
        <v>0</v>
      </c>
      <c r="W53">
        <v>38</v>
      </c>
      <c r="X53">
        <v>52</v>
      </c>
      <c r="Y53">
        <v>40</v>
      </c>
      <c r="Z53" s="14">
        <v>78</v>
      </c>
      <c r="AA53">
        <v>49</v>
      </c>
      <c r="AB53">
        <v>56</v>
      </c>
      <c r="AC53" s="5"/>
      <c r="AD53">
        <v>65</v>
      </c>
      <c r="AE53">
        <v>15</v>
      </c>
      <c r="AF53">
        <v>59</v>
      </c>
      <c r="AG53">
        <v>8</v>
      </c>
    </row>
    <row r="54" spans="1:39" x14ac:dyDescent="0.25">
      <c r="A54" t="s">
        <v>158</v>
      </c>
      <c r="B54">
        <v>5</v>
      </c>
      <c r="C54">
        <v>29</v>
      </c>
      <c r="D54">
        <v>63</v>
      </c>
      <c r="E54">
        <v>53</v>
      </c>
      <c r="F54">
        <v>62</v>
      </c>
      <c r="G54">
        <v>71</v>
      </c>
      <c r="H54">
        <v>9</v>
      </c>
      <c r="I54">
        <v>53</v>
      </c>
      <c r="J54" s="14">
        <v>46</v>
      </c>
      <c r="K54" s="19">
        <v>33</v>
      </c>
      <c r="L54" s="19">
        <v>22</v>
      </c>
      <c r="M54" s="19">
        <v>46</v>
      </c>
      <c r="N54">
        <v>56</v>
      </c>
      <c r="O54">
        <v>64</v>
      </c>
      <c r="P54">
        <v>43</v>
      </c>
      <c r="Q54">
        <v>51</v>
      </c>
      <c r="R54" s="14">
        <v>55</v>
      </c>
      <c r="S54" s="19">
        <v>58</v>
      </c>
      <c r="T54" s="19">
        <v>48</v>
      </c>
      <c r="U54" s="19">
        <v>5</v>
      </c>
      <c r="V54" s="5"/>
      <c r="W54">
        <v>67</v>
      </c>
      <c r="X54">
        <v>67</v>
      </c>
      <c r="Y54" s="5"/>
      <c r="Z54" s="14">
        <v>39</v>
      </c>
      <c r="AA54" s="19">
        <v>47</v>
      </c>
      <c r="AB54" s="19">
        <v>57</v>
      </c>
      <c r="AC54" s="19">
        <v>49</v>
      </c>
      <c r="AD54">
        <v>72</v>
      </c>
      <c r="AE54">
        <v>6</v>
      </c>
      <c r="AF54">
        <v>93</v>
      </c>
      <c r="AG54" s="5"/>
    </row>
    <row r="55" spans="1:39" x14ac:dyDescent="0.25">
      <c r="A55" t="s">
        <v>162</v>
      </c>
      <c r="B55">
        <v>75</v>
      </c>
      <c r="C55">
        <v>71</v>
      </c>
      <c r="D55">
        <v>11</v>
      </c>
      <c r="E55">
        <v>27</v>
      </c>
      <c r="F55">
        <v>26</v>
      </c>
      <c r="G55">
        <v>19</v>
      </c>
      <c r="H55">
        <v>29</v>
      </c>
      <c r="I55">
        <v>38</v>
      </c>
      <c r="J55" s="14">
        <v>70</v>
      </c>
      <c r="K55">
        <v>16</v>
      </c>
      <c r="L55">
        <v>10</v>
      </c>
      <c r="M55">
        <v>21</v>
      </c>
      <c r="N55">
        <v>8</v>
      </c>
      <c r="O55">
        <v>10</v>
      </c>
      <c r="P55">
        <v>6</v>
      </c>
      <c r="Q55">
        <v>24</v>
      </c>
      <c r="R55" s="14">
        <v>65</v>
      </c>
      <c r="S55">
        <v>35</v>
      </c>
      <c r="T55">
        <v>26</v>
      </c>
      <c r="U55">
        <v>43</v>
      </c>
      <c r="V55">
        <v>28</v>
      </c>
      <c r="W55">
        <v>22</v>
      </c>
      <c r="X55">
        <v>21</v>
      </c>
      <c r="Y55">
        <v>34</v>
      </c>
      <c r="Z55" s="14">
        <v>56</v>
      </c>
      <c r="AA55">
        <v>38</v>
      </c>
      <c r="AB55">
        <v>32</v>
      </c>
      <c r="AC55">
        <v>42</v>
      </c>
      <c r="AD55">
        <v>25</v>
      </c>
      <c r="AE55">
        <v>18</v>
      </c>
      <c r="AF55" s="5"/>
      <c r="AG55">
        <v>21</v>
      </c>
    </row>
    <row r="56" spans="1:39" x14ac:dyDescent="0.25">
      <c r="A56" t="s">
        <v>160</v>
      </c>
      <c r="B56">
        <v>20</v>
      </c>
      <c r="C56">
        <v>15</v>
      </c>
      <c r="D56">
        <v>21</v>
      </c>
      <c r="E56">
        <v>20</v>
      </c>
      <c r="F56">
        <v>22</v>
      </c>
      <c r="G56">
        <v>12</v>
      </c>
      <c r="H56">
        <v>6</v>
      </c>
      <c r="I56">
        <v>20</v>
      </c>
      <c r="J56" s="14">
        <v>15</v>
      </c>
      <c r="K56">
        <v>15</v>
      </c>
      <c r="L56">
        <v>18</v>
      </c>
      <c r="M56">
        <v>10</v>
      </c>
      <c r="N56">
        <v>22</v>
      </c>
      <c r="O56">
        <v>9</v>
      </c>
      <c r="P56">
        <v>10</v>
      </c>
      <c r="Q56">
        <v>4</v>
      </c>
      <c r="R56" s="14">
        <v>22</v>
      </c>
      <c r="S56">
        <v>18</v>
      </c>
      <c r="T56">
        <v>20</v>
      </c>
      <c r="U56">
        <v>14</v>
      </c>
      <c r="V56">
        <v>9</v>
      </c>
      <c r="W56">
        <v>8</v>
      </c>
      <c r="X56">
        <v>4</v>
      </c>
      <c r="Y56">
        <v>11</v>
      </c>
      <c r="Z56" s="14">
        <v>16</v>
      </c>
      <c r="AA56">
        <v>5</v>
      </c>
      <c r="AB56">
        <v>12</v>
      </c>
      <c r="AC56">
        <v>12</v>
      </c>
      <c r="AD56">
        <v>8</v>
      </c>
      <c r="AE56">
        <v>4</v>
      </c>
      <c r="AF56">
        <v>14</v>
      </c>
      <c r="AG56">
        <v>9</v>
      </c>
    </row>
    <row r="57" spans="1:39" x14ac:dyDescent="0.25">
      <c r="A57" t="s">
        <v>173</v>
      </c>
      <c r="B57">
        <v>29</v>
      </c>
      <c r="C57">
        <v>59</v>
      </c>
      <c r="D57">
        <v>67</v>
      </c>
      <c r="E57">
        <v>67</v>
      </c>
      <c r="F57">
        <v>59</v>
      </c>
      <c r="G57">
        <v>63</v>
      </c>
      <c r="H57">
        <v>70</v>
      </c>
      <c r="I57">
        <v>55</v>
      </c>
      <c r="J57" s="14">
        <v>36</v>
      </c>
      <c r="K57">
        <v>35</v>
      </c>
      <c r="L57">
        <v>32</v>
      </c>
      <c r="M57">
        <v>53</v>
      </c>
      <c r="N57">
        <v>47</v>
      </c>
      <c r="O57">
        <v>36</v>
      </c>
      <c r="P57">
        <v>48</v>
      </c>
      <c r="Q57">
        <v>44</v>
      </c>
      <c r="R57" s="14">
        <v>42</v>
      </c>
      <c r="S57">
        <v>72</v>
      </c>
      <c r="T57">
        <v>52</v>
      </c>
      <c r="U57" s="5"/>
      <c r="V57">
        <v>80</v>
      </c>
      <c r="W57">
        <v>73</v>
      </c>
      <c r="X57">
        <v>48</v>
      </c>
      <c r="Y57">
        <v>50</v>
      </c>
      <c r="Z57" s="14">
        <v>49</v>
      </c>
      <c r="AA57">
        <v>57</v>
      </c>
      <c r="AB57">
        <v>50</v>
      </c>
      <c r="AC57" s="5"/>
      <c r="AD57">
        <v>53</v>
      </c>
      <c r="AE57">
        <v>65</v>
      </c>
      <c r="AF57">
        <v>63</v>
      </c>
      <c r="AG57">
        <v>57</v>
      </c>
    </row>
    <row r="58" spans="1:39" x14ac:dyDescent="0.25">
      <c r="A58" t="s">
        <v>174</v>
      </c>
      <c r="B58">
        <v>28</v>
      </c>
      <c r="C58">
        <v>43</v>
      </c>
      <c r="D58">
        <v>59</v>
      </c>
      <c r="E58">
        <v>45</v>
      </c>
      <c r="F58">
        <v>68</v>
      </c>
      <c r="G58">
        <v>60</v>
      </c>
      <c r="H58">
        <v>65</v>
      </c>
      <c r="I58">
        <v>58</v>
      </c>
      <c r="J58" s="14">
        <v>68</v>
      </c>
      <c r="K58">
        <v>64</v>
      </c>
      <c r="L58">
        <v>29</v>
      </c>
      <c r="M58">
        <v>67</v>
      </c>
      <c r="N58">
        <v>53</v>
      </c>
      <c r="O58">
        <v>59</v>
      </c>
      <c r="P58">
        <v>66</v>
      </c>
      <c r="Q58">
        <v>48</v>
      </c>
      <c r="R58" s="14">
        <v>14</v>
      </c>
      <c r="S58">
        <v>36</v>
      </c>
      <c r="T58">
        <v>61</v>
      </c>
      <c r="U58">
        <v>59</v>
      </c>
      <c r="V58">
        <v>24</v>
      </c>
      <c r="W58">
        <v>57</v>
      </c>
      <c r="X58">
        <v>60</v>
      </c>
      <c r="Y58">
        <v>63</v>
      </c>
      <c r="Z58" s="14">
        <v>34</v>
      </c>
      <c r="AA58">
        <v>67</v>
      </c>
      <c r="AB58">
        <v>69</v>
      </c>
      <c r="AC58">
        <v>60</v>
      </c>
      <c r="AD58">
        <v>60</v>
      </c>
      <c r="AE58">
        <v>59</v>
      </c>
      <c r="AF58">
        <v>62</v>
      </c>
      <c r="AG58">
        <v>53</v>
      </c>
    </row>
    <row r="59" spans="1:39" x14ac:dyDescent="0.25">
      <c r="A59" t="s">
        <v>175</v>
      </c>
      <c r="B59">
        <v>41</v>
      </c>
      <c r="C59">
        <v>71</v>
      </c>
      <c r="D59">
        <v>66</v>
      </c>
      <c r="E59">
        <v>75</v>
      </c>
      <c r="F59">
        <v>71</v>
      </c>
      <c r="G59">
        <v>66</v>
      </c>
      <c r="H59">
        <v>80</v>
      </c>
      <c r="I59">
        <v>55</v>
      </c>
      <c r="J59" s="14">
        <v>68</v>
      </c>
      <c r="K59">
        <v>68</v>
      </c>
      <c r="L59">
        <v>69</v>
      </c>
      <c r="M59">
        <v>78</v>
      </c>
      <c r="N59">
        <v>63</v>
      </c>
      <c r="O59">
        <v>74</v>
      </c>
      <c r="P59">
        <v>64</v>
      </c>
      <c r="Q59">
        <v>52</v>
      </c>
      <c r="R59" s="14">
        <v>55</v>
      </c>
      <c r="S59">
        <v>63</v>
      </c>
      <c r="T59">
        <v>84</v>
      </c>
      <c r="U59">
        <v>71</v>
      </c>
      <c r="V59">
        <v>59</v>
      </c>
      <c r="W59">
        <v>79</v>
      </c>
      <c r="X59">
        <v>71</v>
      </c>
      <c r="Y59">
        <v>63</v>
      </c>
      <c r="Z59" s="14">
        <v>67</v>
      </c>
      <c r="AA59">
        <v>78</v>
      </c>
      <c r="AB59">
        <v>82</v>
      </c>
      <c r="AC59">
        <v>81</v>
      </c>
      <c r="AD59">
        <v>65</v>
      </c>
      <c r="AE59">
        <v>61</v>
      </c>
      <c r="AF59">
        <v>59</v>
      </c>
      <c r="AG59">
        <v>38</v>
      </c>
    </row>
    <row r="60" spans="1:39" x14ac:dyDescent="0.25">
      <c r="A60" t="s">
        <v>187</v>
      </c>
      <c r="B60">
        <v>82</v>
      </c>
      <c r="C60">
        <v>60</v>
      </c>
      <c r="D60">
        <v>59</v>
      </c>
      <c r="E60">
        <v>66</v>
      </c>
      <c r="F60">
        <v>65</v>
      </c>
      <c r="G60">
        <v>62</v>
      </c>
      <c r="H60">
        <v>60</v>
      </c>
      <c r="I60">
        <v>42</v>
      </c>
      <c r="J60" s="14">
        <v>57</v>
      </c>
      <c r="K60">
        <v>56</v>
      </c>
      <c r="L60">
        <v>50</v>
      </c>
      <c r="M60">
        <v>62</v>
      </c>
      <c r="N60">
        <v>59</v>
      </c>
      <c r="O60">
        <v>56</v>
      </c>
      <c r="P60">
        <v>57</v>
      </c>
      <c r="Q60">
        <v>56</v>
      </c>
      <c r="R60" s="14">
        <v>53</v>
      </c>
      <c r="S60">
        <v>54</v>
      </c>
      <c r="T60">
        <v>58</v>
      </c>
      <c r="U60">
        <v>67</v>
      </c>
      <c r="V60">
        <v>51</v>
      </c>
      <c r="W60">
        <v>42</v>
      </c>
      <c r="X60">
        <v>42</v>
      </c>
      <c r="Y60">
        <v>48</v>
      </c>
      <c r="Z60" s="14">
        <v>67</v>
      </c>
      <c r="AA60">
        <v>52</v>
      </c>
      <c r="AB60">
        <v>45</v>
      </c>
      <c r="AC60">
        <v>51</v>
      </c>
      <c r="AD60">
        <v>69</v>
      </c>
      <c r="AE60">
        <v>50</v>
      </c>
      <c r="AF60">
        <v>50</v>
      </c>
      <c r="AG60">
        <v>45</v>
      </c>
    </row>
    <row r="61" spans="1:39" x14ac:dyDescent="0.25">
      <c r="A61" t="s">
        <v>186</v>
      </c>
      <c r="B61">
        <v>46</v>
      </c>
      <c r="C61">
        <v>15</v>
      </c>
      <c r="D61">
        <v>10</v>
      </c>
      <c r="E61">
        <v>17</v>
      </c>
      <c r="F61">
        <v>33</v>
      </c>
      <c r="G61">
        <v>5</v>
      </c>
      <c r="H61">
        <v>21</v>
      </c>
      <c r="I61">
        <v>22</v>
      </c>
      <c r="J61" s="14">
        <v>5</v>
      </c>
      <c r="K61">
        <v>5</v>
      </c>
      <c r="L61">
        <v>5</v>
      </c>
      <c r="M61">
        <v>4</v>
      </c>
      <c r="N61">
        <v>7</v>
      </c>
      <c r="O61">
        <v>14</v>
      </c>
      <c r="P61">
        <v>4</v>
      </c>
      <c r="Q61">
        <v>15</v>
      </c>
      <c r="R61" s="14">
        <v>13</v>
      </c>
      <c r="S61">
        <v>13</v>
      </c>
      <c r="T61">
        <v>10</v>
      </c>
      <c r="U61">
        <v>5</v>
      </c>
      <c r="V61">
        <v>5</v>
      </c>
      <c r="W61">
        <v>21</v>
      </c>
      <c r="X61">
        <v>6</v>
      </c>
      <c r="Y61">
        <v>4</v>
      </c>
      <c r="Z61" s="14">
        <v>18</v>
      </c>
      <c r="AA61">
        <v>6</v>
      </c>
      <c r="AB61">
        <v>14</v>
      </c>
      <c r="AC61">
        <v>8</v>
      </c>
      <c r="AD61">
        <v>14</v>
      </c>
      <c r="AE61">
        <v>5</v>
      </c>
      <c r="AF61">
        <v>6</v>
      </c>
      <c r="AG61">
        <v>2</v>
      </c>
    </row>
    <row r="63" spans="1:39" x14ac:dyDescent="0.25">
      <c r="AI63" s="25"/>
      <c r="AJ63" s="37"/>
      <c r="AK63" s="37"/>
      <c r="AL63" s="37"/>
      <c r="AM63" s="37"/>
    </row>
    <row r="65" spans="35:39" x14ac:dyDescent="0.25">
      <c r="AI65" s="25"/>
      <c r="AJ65" s="12"/>
      <c r="AK65" s="12"/>
      <c r="AL65" s="12"/>
      <c r="AM65" s="12"/>
    </row>
    <row r="66" spans="35:39" x14ac:dyDescent="0.25">
      <c r="AI66" s="25"/>
      <c r="AJ66" s="12"/>
      <c r="AK66" s="12"/>
      <c r="AL66" s="12"/>
      <c r="AM66" s="12"/>
    </row>
    <row r="67" spans="35:39" x14ac:dyDescent="0.25">
      <c r="AJ67" s="12"/>
      <c r="AK67" s="12"/>
      <c r="AL67" s="12"/>
      <c r="AM67" s="12"/>
    </row>
    <row r="68" spans="35:39" x14ac:dyDescent="0.25">
      <c r="AI68" s="25"/>
      <c r="AJ68" s="12"/>
      <c r="AK68" s="12"/>
      <c r="AL68" s="12"/>
      <c r="AM68" s="12"/>
    </row>
    <row r="69" spans="35:39" x14ac:dyDescent="0.25">
      <c r="AI69" s="25"/>
      <c r="AJ69" s="12"/>
      <c r="AK69" s="12"/>
      <c r="AL69" s="12"/>
      <c r="AM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M69"/>
  <sheetViews>
    <sheetView zoomScale="55" zoomScaleNormal="55" workbookViewId="0">
      <selection activeCell="AK12" sqref="AK12"/>
    </sheetView>
  </sheetViews>
  <sheetFormatPr defaultRowHeight="15" x14ac:dyDescent="0.25"/>
  <cols>
    <col min="10" max="10" width="9.140625" style="14"/>
    <col min="18" max="18" width="9.140625" style="14"/>
    <col min="26" max="26" width="9.140625" style="14"/>
  </cols>
  <sheetData>
    <row r="1" spans="1:33" s="25" customFormat="1" x14ac:dyDescent="0.25">
      <c r="A1" s="25" t="s">
        <v>0</v>
      </c>
      <c r="B1" s="25" t="s">
        <v>205</v>
      </c>
      <c r="C1" s="25" t="s">
        <v>206</v>
      </c>
      <c r="D1" s="25" t="s">
        <v>207</v>
      </c>
      <c r="E1" s="25" t="s">
        <v>208</v>
      </c>
      <c r="F1" s="25" t="s">
        <v>209</v>
      </c>
      <c r="G1" s="25" t="s">
        <v>210</v>
      </c>
      <c r="H1" s="25" t="s">
        <v>211</v>
      </c>
      <c r="I1" s="25" t="s">
        <v>212</v>
      </c>
      <c r="J1" s="25" t="s">
        <v>213</v>
      </c>
      <c r="K1" s="25" t="s">
        <v>214</v>
      </c>
      <c r="L1" s="25" t="s">
        <v>215</v>
      </c>
      <c r="M1" s="25" t="s">
        <v>216</v>
      </c>
      <c r="N1" s="25" t="s">
        <v>217</v>
      </c>
      <c r="O1" s="25" t="s">
        <v>218</v>
      </c>
      <c r="P1" s="25" t="s">
        <v>219</v>
      </c>
      <c r="Q1" s="25" t="s">
        <v>220</v>
      </c>
      <c r="R1" s="31" t="s">
        <v>221</v>
      </c>
      <c r="S1" s="25" t="s">
        <v>222</v>
      </c>
      <c r="T1" s="25" t="s">
        <v>223</v>
      </c>
      <c r="U1" s="25" t="s">
        <v>224</v>
      </c>
      <c r="V1" s="25" t="s">
        <v>225</v>
      </c>
      <c r="W1" s="25" t="s">
        <v>226</v>
      </c>
      <c r="X1" s="25" t="s">
        <v>227</v>
      </c>
      <c r="Y1" s="25" t="s">
        <v>228</v>
      </c>
      <c r="Z1" s="31" t="s">
        <v>229</v>
      </c>
      <c r="AA1" s="25" t="s">
        <v>230</v>
      </c>
      <c r="AB1" s="25" t="s">
        <v>231</v>
      </c>
      <c r="AC1" s="25" t="s">
        <v>232</v>
      </c>
      <c r="AD1" s="25" t="s">
        <v>233</v>
      </c>
      <c r="AE1" s="25" t="s">
        <v>234</v>
      </c>
      <c r="AF1" s="25" t="s">
        <v>235</v>
      </c>
      <c r="AG1" s="25" t="s">
        <v>236</v>
      </c>
    </row>
    <row r="2" spans="1:33" x14ac:dyDescent="0.25">
      <c r="A2" t="s">
        <v>3</v>
      </c>
      <c r="B2">
        <v>50</v>
      </c>
      <c r="C2">
        <v>23</v>
      </c>
      <c r="D2">
        <v>33</v>
      </c>
      <c r="E2">
        <v>50</v>
      </c>
      <c r="F2">
        <v>23</v>
      </c>
      <c r="G2">
        <v>46</v>
      </c>
      <c r="H2">
        <v>34</v>
      </c>
      <c r="I2">
        <v>26</v>
      </c>
      <c r="J2" s="18"/>
      <c r="K2" s="7"/>
      <c r="L2" s="7"/>
      <c r="M2" s="7"/>
      <c r="N2" s="7"/>
      <c r="O2" s="7"/>
      <c r="P2" s="7"/>
      <c r="Q2" s="7"/>
      <c r="R2" s="14">
        <v>34</v>
      </c>
      <c r="S2">
        <v>55</v>
      </c>
      <c r="T2">
        <v>46</v>
      </c>
      <c r="U2">
        <v>26</v>
      </c>
      <c r="V2">
        <v>42</v>
      </c>
      <c r="W2">
        <v>28</v>
      </c>
      <c r="X2">
        <v>20</v>
      </c>
      <c r="Y2">
        <v>26</v>
      </c>
      <c r="Z2" s="14">
        <v>40</v>
      </c>
      <c r="AA2">
        <v>20</v>
      </c>
      <c r="AB2">
        <v>28</v>
      </c>
      <c r="AC2">
        <v>10</v>
      </c>
      <c r="AD2">
        <v>12</v>
      </c>
      <c r="AE2">
        <v>18</v>
      </c>
      <c r="AF2">
        <v>17</v>
      </c>
      <c r="AG2">
        <v>20</v>
      </c>
    </row>
    <row r="3" spans="1:33" x14ac:dyDescent="0.25">
      <c r="A3" t="s">
        <v>13</v>
      </c>
      <c r="B3">
        <v>27</v>
      </c>
      <c r="C3">
        <v>9</v>
      </c>
      <c r="D3">
        <v>36</v>
      </c>
      <c r="E3">
        <v>28</v>
      </c>
      <c r="F3">
        <v>60</v>
      </c>
      <c r="G3">
        <v>40</v>
      </c>
      <c r="H3">
        <v>54</v>
      </c>
      <c r="I3">
        <v>16</v>
      </c>
      <c r="J3" s="18"/>
      <c r="K3" s="7"/>
      <c r="L3" s="7"/>
      <c r="M3" s="7"/>
      <c r="N3" s="7"/>
      <c r="O3" s="7"/>
      <c r="P3" s="7"/>
      <c r="Q3" s="7"/>
      <c r="R3" s="14">
        <v>27</v>
      </c>
      <c r="S3">
        <v>52</v>
      </c>
      <c r="T3">
        <v>48</v>
      </c>
      <c r="U3">
        <v>58</v>
      </c>
      <c r="V3">
        <v>55</v>
      </c>
      <c r="W3">
        <v>61</v>
      </c>
      <c r="X3">
        <v>57</v>
      </c>
      <c r="Y3">
        <v>60</v>
      </c>
      <c r="Z3" s="14">
        <v>4</v>
      </c>
      <c r="AA3">
        <v>11</v>
      </c>
      <c r="AB3">
        <v>13</v>
      </c>
      <c r="AC3">
        <v>8</v>
      </c>
      <c r="AD3">
        <v>2</v>
      </c>
      <c r="AE3">
        <v>20</v>
      </c>
      <c r="AF3">
        <v>7</v>
      </c>
      <c r="AG3">
        <v>6</v>
      </c>
    </row>
    <row r="4" spans="1:33" x14ac:dyDescent="0.25">
      <c r="A4" t="s">
        <v>68</v>
      </c>
      <c r="B4">
        <v>67</v>
      </c>
      <c r="C4">
        <v>49</v>
      </c>
      <c r="D4">
        <v>56</v>
      </c>
      <c r="E4">
        <v>12</v>
      </c>
      <c r="F4">
        <v>25</v>
      </c>
      <c r="G4">
        <v>49</v>
      </c>
      <c r="H4">
        <v>62</v>
      </c>
      <c r="I4">
        <v>32</v>
      </c>
      <c r="J4" s="18"/>
      <c r="K4" s="7"/>
      <c r="L4" s="7"/>
      <c r="M4" s="7"/>
      <c r="N4" s="7"/>
      <c r="O4" s="7"/>
      <c r="P4" s="7"/>
      <c r="Q4" s="7"/>
      <c r="R4" s="14">
        <v>15</v>
      </c>
      <c r="S4">
        <v>26</v>
      </c>
      <c r="T4">
        <v>19</v>
      </c>
      <c r="U4">
        <v>17</v>
      </c>
      <c r="V4">
        <v>12</v>
      </c>
      <c r="W4">
        <v>10</v>
      </c>
      <c r="X4">
        <v>68</v>
      </c>
      <c r="Y4">
        <v>33</v>
      </c>
      <c r="Z4" s="14">
        <v>54</v>
      </c>
      <c r="AA4">
        <v>17</v>
      </c>
      <c r="AB4">
        <v>62</v>
      </c>
      <c r="AC4">
        <v>15</v>
      </c>
      <c r="AD4">
        <v>37</v>
      </c>
      <c r="AE4">
        <v>63</v>
      </c>
      <c r="AF4">
        <v>32</v>
      </c>
      <c r="AG4">
        <v>51</v>
      </c>
    </row>
    <row r="5" spans="1:33" x14ac:dyDescent="0.25">
      <c r="A5" t="s">
        <v>69</v>
      </c>
      <c r="B5">
        <v>70</v>
      </c>
      <c r="C5">
        <v>83</v>
      </c>
      <c r="D5">
        <v>79</v>
      </c>
      <c r="E5">
        <v>70</v>
      </c>
      <c r="F5">
        <v>39</v>
      </c>
      <c r="G5">
        <v>65</v>
      </c>
      <c r="H5">
        <v>59</v>
      </c>
      <c r="I5">
        <v>53</v>
      </c>
      <c r="J5" s="14">
        <v>23</v>
      </c>
      <c r="K5">
        <v>31</v>
      </c>
      <c r="L5">
        <v>37</v>
      </c>
      <c r="M5">
        <v>37</v>
      </c>
      <c r="N5">
        <v>15</v>
      </c>
      <c r="O5">
        <v>3</v>
      </c>
      <c r="P5">
        <v>2</v>
      </c>
      <c r="Q5">
        <v>3</v>
      </c>
      <c r="R5" s="14">
        <v>51</v>
      </c>
      <c r="S5">
        <v>78</v>
      </c>
      <c r="T5">
        <v>37</v>
      </c>
      <c r="U5">
        <v>32</v>
      </c>
      <c r="V5">
        <v>28</v>
      </c>
      <c r="W5">
        <v>33</v>
      </c>
      <c r="X5">
        <v>26</v>
      </c>
      <c r="Y5">
        <v>15</v>
      </c>
      <c r="Z5" s="14">
        <v>72</v>
      </c>
      <c r="AA5">
        <v>45</v>
      </c>
      <c r="AB5">
        <v>34</v>
      </c>
      <c r="AC5">
        <v>42</v>
      </c>
      <c r="AD5">
        <v>20</v>
      </c>
      <c r="AE5">
        <v>42</v>
      </c>
      <c r="AF5">
        <v>19</v>
      </c>
      <c r="AG5">
        <v>26</v>
      </c>
    </row>
    <row r="6" spans="1:33" x14ac:dyDescent="0.25">
      <c r="A6" t="s">
        <v>70</v>
      </c>
      <c r="B6">
        <v>84</v>
      </c>
      <c r="C6">
        <v>84</v>
      </c>
      <c r="D6">
        <v>71</v>
      </c>
      <c r="E6">
        <v>58</v>
      </c>
      <c r="F6">
        <v>56</v>
      </c>
      <c r="G6">
        <v>24</v>
      </c>
      <c r="H6">
        <v>68</v>
      </c>
      <c r="I6">
        <v>8</v>
      </c>
      <c r="J6" s="14">
        <v>88</v>
      </c>
      <c r="K6">
        <v>99</v>
      </c>
      <c r="L6">
        <v>35</v>
      </c>
      <c r="M6">
        <v>34</v>
      </c>
      <c r="N6">
        <v>21</v>
      </c>
      <c r="O6">
        <v>3</v>
      </c>
      <c r="P6">
        <v>3</v>
      </c>
      <c r="Q6">
        <v>2</v>
      </c>
      <c r="R6" s="14">
        <v>67</v>
      </c>
      <c r="S6">
        <v>62</v>
      </c>
      <c r="T6">
        <v>68</v>
      </c>
      <c r="U6">
        <v>33</v>
      </c>
      <c r="V6">
        <v>25</v>
      </c>
      <c r="W6">
        <v>13</v>
      </c>
      <c r="X6">
        <v>14</v>
      </c>
      <c r="Y6">
        <v>28</v>
      </c>
      <c r="Z6" s="14">
        <v>41</v>
      </c>
      <c r="AA6">
        <v>15</v>
      </c>
      <c r="AB6">
        <v>23</v>
      </c>
      <c r="AC6">
        <v>21</v>
      </c>
      <c r="AD6">
        <v>30</v>
      </c>
      <c r="AE6">
        <v>41</v>
      </c>
      <c r="AF6">
        <v>13</v>
      </c>
      <c r="AG6">
        <v>16</v>
      </c>
    </row>
    <row r="7" spans="1:33" x14ac:dyDescent="0.25">
      <c r="A7" t="s">
        <v>74</v>
      </c>
      <c r="B7">
        <v>23</v>
      </c>
      <c r="C7">
        <v>74</v>
      </c>
      <c r="D7">
        <v>54</v>
      </c>
      <c r="E7">
        <v>41</v>
      </c>
      <c r="F7">
        <v>41</v>
      </c>
      <c r="G7">
        <v>29</v>
      </c>
      <c r="H7">
        <v>46</v>
      </c>
      <c r="I7">
        <v>38</v>
      </c>
      <c r="J7" s="14">
        <v>52</v>
      </c>
      <c r="K7">
        <v>31</v>
      </c>
      <c r="L7">
        <v>30</v>
      </c>
      <c r="M7">
        <v>37</v>
      </c>
      <c r="N7">
        <v>38</v>
      </c>
      <c r="O7">
        <v>47</v>
      </c>
      <c r="P7">
        <v>32</v>
      </c>
      <c r="Q7">
        <v>50</v>
      </c>
      <c r="R7" s="14">
        <v>34</v>
      </c>
      <c r="S7">
        <v>25</v>
      </c>
      <c r="T7">
        <v>26</v>
      </c>
      <c r="U7">
        <v>38</v>
      </c>
      <c r="V7">
        <v>55</v>
      </c>
      <c r="W7">
        <v>40</v>
      </c>
      <c r="X7">
        <v>33</v>
      </c>
      <c r="Y7">
        <v>36</v>
      </c>
      <c r="Z7" s="14">
        <v>35</v>
      </c>
      <c r="AA7">
        <v>28</v>
      </c>
      <c r="AB7">
        <v>27</v>
      </c>
      <c r="AC7">
        <v>39</v>
      </c>
      <c r="AD7">
        <v>43</v>
      </c>
      <c r="AE7">
        <v>34</v>
      </c>
      <c r="AF7">
        <v>44</v>
      </c>
      <c r="AG7">
        <v>41</v>
      </c>
    </row>
    <row r="8" spans="1:33" x14ac:dyDescent="0.25">
      <c r="A8" t="s">
        <v>79</v>
      </c>
      <c r="B8">
        <v>57</v>
      </c>
      <c r="C8">
        <v>72</v>
      </c>
      <c r="D8">
        <v>84</v>
      </c>
      <c r="E8">
        <v>78</v>
      </c>
      <c r="F8">
        <v>81</v>
      </c>
      <c r="G8">
        <v>54</v>
      </c>
      <c r="H8">
        <v>84</v>
      </c>
      <c r="I8">
        <v>82</v>
      </c>
      <c r="J8" s="14">
        <v>11</v>
      </c>
      <c r="K8">
        <v>75</v>
      </c>
      <c r="L8">
        <v>49</v>
      </c>
      <c r="M8">
        <v>63</v>
      </c>
      <c r="N8">
        <v>50</v>
      </c>
      <c r="O8">
        <v>61</v>
      </c>
      <c r="P8">
        <v>34</v>
      </c>
      <c r="Q8">
        <v>30</v>
      </c>
      <c r="R8" s="14">
        <v>19</v>
      </c>
      <c r="S8">
        <v>13</v>
      </c>
      <c r="T8">
        <v>70</v>
      </c>
      <c r="U8">
        <v>55</v>
      </c>
      <c r="V8">
        <v>70</v>
      </c>
      <c r="W8">
        <v>77</v>
      </c>
      <c r="X8">
        <v>71</v>
      </c>
      <c r="Y8">
        <v>47</v>
      </c>
      <c r="Z8" s="14">
        <v>52</v>
      </c>
      <c r="AA8">
        <v>66</v>
      </c>
      <c r="AB8">
        <v>62</v>
      </c>
      <c r="AC8">
        <v>89</v>
      </c>
      <c r="AD8">
        <v>64</v>
      </c>
      <c r="AE8">
        <v>96</v>
      </c>
      <c r="AF8">
        <v>98</v>
      </c>
      <c r="AG8">
        <v>45</v>
      </c>
    </row>
    <row r="9" spans="1:33" x14ac:dyDescent="0.25">
      <c r="A9" t="s">
        <v>80</v>
      </c>
      <c r="B9">
        <v>21</v>
      </c>
      <c r="C9">
        <v>50</v>
      </c>
      <c r="D9">
        <v>11</v>
      </c>
      <c r="E9">
        <v>35</v>
      </c>
      <c r="F9">
        <v>36</v>
      </c>
      <c r="G9">
        <v>25</v>
      </c>
      <c r="H9">
        <v>26</v>
      </c>
      <c r="I9">
        <v>27</v>
      </c>
      <c r="J9" s="14">
        <v>11</v>
      </c>
      <c r="K9">
        <v>1</v>
      </c>
      <c r="L9">
        <v>46</v>
      </c>
      <c r="M9">
        <v>42</v>
      </c>
      <c r="N9">
        <v>57</v>
      </c>
      <c r="O9">
        <v>68</v>
      </c>
      <c r="P9">
        <v>20</v>
      </c>
      <c r="Q9">
        <v>51</v>
      </c>
      <c r="R9" s="14">
        <v>13</v>
      </c>
      <c r="S9">
        <v>23</v>
      </c>
      <c r="T9">
        <v>20</v>
      </c>
      <c r="U9" s="7"/>
      <c r="V9">
        <v>54</v>
      </c>
      <c r="W9">
        <v>11</v>
      </c>
      <c r="X9">
        <v>9</v>
      </c>
      <c r="Y9">
        <v>1</v>
      </c>
      <c r="Z9" s="14">
        <v>9</v>
      </c>
      <c r="AA9">
        <v>16</v>
      </c>
      <c r="AB9">
        <v>33</v>
      </c>
      <c r="AC9">
        <v>12</v>
      </c>
      <c r="AD9">
        <v>61</v>
      </c>
      <c r="AE9">
        <v>29</v>
      </c>
      <c r="AF9">
        <v>54</v>
      </c>
      <c r="AG9">
        <v>15</v>
      </c>
    </row>
    <row r="10" spans="1:33" x14ac:dyDescent="0.25">
      <c r="A10" t="s">
        <v>86</v>
      </c>
      <c r="B10">
        <v>28</v>
      </c>
      <c r="C10">
        <v>17</v>
      </c>
      <c r="D10">
        <v>19</v>
      </c>
      <c r="E10">
        <v>11</v>
      </c>
      <c r="F10">
        <v>10</v>
      </c>
      <c r="G10">
        <v>16</v>
      </c>
      <c r="H10">
        <v>30</v>
      </c>
      <c r="I10">
        <v>8</v>
      </c>
      <c r="J10" s="14">
        <v>2</v>
      </c>
      <c r="K10">
        <v>6</v>
      </c>
      <c r="L10">
        <v>4</v>
      </c>
      <c r="M10">
        <v>13</v>
      </c>
      <c r="N10">
        <v>3</v>
      </c>
      <c r="O10">
        <v>7</v>
      </c>
      <c r="P10">
        <v>10</v>
      </c>
      <c r="Q10">
        <v>9</v>
      </c>
      <c r="R10" s="14">
        <v>17</v>
      </c>
      <c r="S10">
        <v>22</v>
      </c>
      <c r="T10">
        <v>38</v>
      </c>
      <c r="U10">
        <v>16</v>
      </c>
      <c r="V10">
        <v>10</v>
      </c>
      <c r="W10">
        <v>12</v>
      </c>
      <c r="X10">
        <v>7</v>
      </c>
      <c r="Y10">
        <v>10</v>
      </c>
      <c r="Z10" s="14">
        <v>8</v>
      </c>
      <c r="AA10">
        <v>24</v>
      </c>
      <c r="AB10">
        <v>9</v>
      </c>
      <c r="AC10">
        <v>15</v>
      </c>
      <c r="AD10">
        <v>29</v>
      </c>
      <c r="AE10">
        <v>38</v>
      </c>
      <c r="AF10">
        <v>31</v>
      </c>
      <c r="AG10">
        <v>26</v>
      </c>
    </row>
    <row r="11" spans="1:33" x14ac:dyDescent="0.25">
      <c r="A11" t="s">
        <v>92</v>
      </c>
      <c r="B11">
        <v>50</v>
      </c>
      <c r="C11">
        <v>34</v>
      </c>
      <c r="D11">
        <v>24</v>
      </c>
      <c r="E11">
        <v>4</v>
      </c>
      <c r="F11">
        <v>12</v>
      </c>
      <c r="G11">
        <v>17</v>
      </c>
      <c r="H11">
        <v>3</v>
      </c>
      <c r="I11">
        <v>3</v>
      </c>
      <c r="J11" s="14">
        <v>51</v>
      </c>
      <c r="K11">
        <v>31</v>
      </c>
      <c r="L11">
        <v>30</v>
      </c>
      <c r="M11">
        <v>28</v>
      </c>
      <c r="N11">
        <v>28</v>
      </c>
      <c r="O11">
        <v>19</v>
      </c>
      <c r="P11">
        <v>5</v>
      </c>
      <c r="Q11">
        <v>37</v>
      </c>
      <c r="R11" s="14">
        <v>2</v>
      </c>
      <c r="S11">
        <v>19</v>
      </c>
      <c r="T11">
        <v>7</v>
      </c>
      <c r="U11">
        <v>13</v>
      </c>
      <c r="V11">
        <v>4</v>
      </c>
      <c r="W11">
        <v>5</v>
      </c>
      <c r="X11">
        <v>32</v>
      </c>
      <c r="Y11">
        <v>41</v>
      </c>
      <c r="Z11" s="14">
        <v>21</v>
      </c>
      <c r="AA11">
        <v>6</v>
      </c>
      <c r="AB11">
        <v>6</v>
      </c>
      <c r="AC11">
        <v>42</v>
      </c>
      <c r="AD11">
        <v>20</v>
      </c>
      <c r="AE11">
        <v>16</v>
      </c>
      <c r="AF11">
        <v>9</v>
      </c>
      <c r="AG11">
        <v>7</v>
      </c>
    </row>
    <row r="12" spans="1:33" x14ac:dyDescent="0.25">
      <c r="A12" t="s">
        <v>93</v>
      </c>
      <c r="B12">
        <v>9</v>
      </c>
      <c r="C12">
        <v>29</v>
      </c>
      <c r="D12">
        <v>9</v>
      </c>
      <c r="E12">
        <v>19</v>
      </c>
      <c r="F12">
        <v>44</v>
      </c>
      <c r="G12">
        <v>35</v>
      </c>
      <c r="H12">
        <v>52</v>
      </c>
      <c r="I12">
        <v>55</v>
      </c>
      <c r="J12" s="14">
        <v>25</v>
      </c>
      <c r="K12">
        <v>4</v>
      </c>
      <c r="L12">
        <v>58</v>
      </c>
      <c r="M12">
        <v>39</v>
      </c>
      <c r="N12">
        <v>9</v>
      </c>
      <c r="O12">
        <v>55</v>
      </c>
      <c r="P12">
        <v>48</v>
      </c>
      <c r="Q12">
        <v>26</v>
      </c>
      <c r="R12" s="14">
        <v>12</v>
      </c>
      <c r="S12">
        <v>34</v>
      </c>
      <c r="T12">
        <v>12</v>
      </c>
      <c r="U12">
        <v>26</v>
      </c>
      <c r="V12">
        <v>48</v>
      </c>
      <c r="W12">
        <v>46</v>
      </c>
      <c r="X12">
        <v>63</v>
      </c>
      <c r="Y12">
        <v>41</v>
      </c>
      <c r="Z12" s="14">
        <v>36</v>
      </c>
      <c r="AA12">
        <v>47</v>
      </c>
      <c r="AB12">
        <v>41</v>
      </c>
      <c r="AC12">
        <v>32</v>
      </c>
      <c r="AD12">
        <v>59</v>
      </c>
      <c r="AE12">
        <v>68</v>
      </c>
      <c r="AF12">
        <v>60</v>
      </c>
      <c r="AG12">
        <v>52</v>
      </c>
    </row>
    <row r="13" spans="1:33" x14ac:dyDescent="0.25">
      <c r="A13" t="s">
        <v>110</v>
      </c>
      <c r="B13">
        <v>6</v>
      </c>
      <c r="C13">
        <v>11</v>
      </c>
      <c r="D13">
        <v>6</v>
      </c>
      <c r="E13">
        <v>8</v>
      </c>
      <c r="F13">
        <v>65</v>
      </c>
      <c r="G13">
        <v>19</v>
      </c>
      <c r="H13">
        <v>9</v>
      </c>
      <c r="I13">
        <v>15</v>
      </c>
      <c r="J13" s="14">
        <v>1</v>
      </c>
      <c r="K13">
        <v>0</v>
      </c>
      <c r="L13">
        <v>0</v>
      </c>
      <c r="M13">
        <v>1</v>
      </c>
      <c r="N13">
        <v>1</v>
      </c>
      <c r="O13">
        <v>1</v>
      </c>
      <c r="P13">
        <v>0</v>
      </c>
      <c r="Q13">
        <v>0</v>
      </c>
      <c r="R13" s="14">
        <v>10</v>
      </c>
      <c r="S13">
        <v>1</v>
      </c>
      <c r="T13">
        <v>10</v>
      </c>
      <c r="U13">
        <v>0</v>
      </c>
      <c r="V13">
        <v>0</v>
      </c>
      <c r="W13">
        <v>1</v>
      </c>
      <c r="X13">
        <v>0</v>
      </c>
      <c r="Y13">
        <v>4</v>
      </c>
      <c r="Z13" s="14">
        <v>17</v>
      </c>
      <c r="AA13">
        <v>11</v>
      </c>
      <c r="AB13">
        <v>2</v>
      </c>
      <c r="AC13">
        <v>15</v>
      </c>
      <c r="AD13">
        <v>10</v>
      </c>
      <c r="AE13">
        <v>1</v>
      </c>
      <c r="AF13">
        <v>0</v>
      </c>
      <c r="AG13">
        <v>0</v>
      </c>
    </row>
    <row r="14" spans="1:33" x14ac:dyDescent="0.25">
      <c r="A14" t="s">
        <v>120</v>
      </c>
      <c r="B14">
        <v>24</v>
      </c>
      <c r="C14">
        <v>13</v>
      </c>
      <c r="D14">
        <v>16</v>
      </c>
      <c r="E14">
        <v>16</v>
      </c>
      <c r="F14">
        <v>35</v>
      </c>
      <c r="G14">
        <v>20</v>
      </c>
      <c r="H14">
        <v>28</v>
      </c>
      <c r="I14">
        <v>31</v>
      </c>
      <c r="J14" s="14">
        <v>33</v>
      </c>
      <c r="K14">
        <v>10</v>
      </c>
      <c r="L14">
        <v>9</v>
      </c>
      <c r="M14">
        <v>10</v>
      </c>
      <c r="N14">
        <v>27</v>
      </c>
      <c r="O14">
        <v>20</v>
      </c>
      <c r="P14">
        <v>21</v>
      </c>
      <c r="Q14">
        <v>37</v>
      </c>
      <c r="R14" s="14">
        <v>16</v>
      </c>
      <c r="S14">
        <v>10</v>
      </c>
      <c r="T14">
        <v>6</v>
      </c>
      <c r="U14">
        <v>12</v>
      </c>
      <c r="V14">
        <v>7</v>
      </c>
      <c r="W14">
        <v>15</v>
      </c>
      <c r="X14">
        <v>37</v>
      </c>
      <c r="Y14">
        <v>18</v>
      </c>
      <c r="Z14" s="14">
        <v>14</v>
      </c>
      <c r="AA14">
        <v>11</v>
      </c>
      <c r="AB14">
        <v>10</v>
      </c>
      <c r="AC14">
        <v>24</v>
      </c>
      <c r="AD14">
        <v>25</v>
      </c>
      <c r="AE14">
        <v>26</v>
      </c>
      <c r="AF14">
        <v>13</v>
      </c>
      <c r="AG14">
        <v>22</v>
      </c>
    </row>
    <row r="15" spans="1:33" ht="18" customHeight="1" x14ac:dyDescent="0.25">
      <c r="A15" t="s">
        <v>125</v>
      </c>
      <c r="B15">
        <v>1</v>
      </c>
      <c r="C15">
        <v>1</v>
      </c>
      <c r="D15">
        <v>4</v>
      </c>
      <c r="E15">
        <v>6</v>
      </c>
      <c r="F15">
        <v>3</v>
      </c>
      <c r="G15">
        <v>3</v>
      </c>
      <c r="H15">
        <v>4</v>
      </c>
      <c r="I15">
        <v>5</v>
      </c>
      <c r="J15" s="14">
        <v>1</v>
      </c>
      <c r="K15">
        <v>1</v>
      </c>
      <c r="L15">
        <v>3</v>
      </c>
      <c r="M15">
        <v>3</v>
      </c>
      <c r="N15">
        <v>7</v>
      </c>
      <c r="O15">
        <v>4</v>
      </c>
      <c r="P15">
        <v>3</v>
      </c>
      <c r="Q15">
        <v>4</v>
      </c>
      <c r="R15" s="14">
        <v>2</v>
      </c>
      <c r="S15">
        <v>8</v>
      </c>
      <c r="T15">
        <v>6</v>
      </c>
      <c r="U15">
        <v>6</v>
      </c>
      <c r="V15">
        <v>21</v>
      </c>
      <c r="W15">
        <v>8</v>
      </c>
      <c r="X15">
        <v>12</v>
      </c>
      <c r="Y15">
        <v>3</v>
      </c>
      <c r="Z15" s="14">
        <v>4</v>
      </c>
      <c r="AA15">
        <v>8</v>
      </c>
      <c r="AB15">
        <v>16</v>
      </c>
      <c r="AC15">
        <v>16</v>
      </c>
      <c r="AD15">
        <v>7</v>
      </c>
      <c r="AE15">
        <v>4</v>
      </c>
      <c r="AF15">
        <v>2</v>
      </c>
      <c r="AG15">
        <v>4</v>
      </c>
    </row>
    <row r="16" spans="1:33" x14ac:dyDescent="0.25">
      <c r="A16" t="s">
        <v>130</v>
      </c>
      <c r="B16">
        <v>62</v>
      </c>
      <c r="C16">
        <v>49</v>
      </c>
      <c r="D16">
        <v>55</v>
      </c>
      <c r="E16">
        <v>41</v>
      </c>
      <c r="F16">
        <v>36</v>
      </c>
      <c r="G16">
        <v>22</v>
      </c>
      <c r="H16">
        <v>40</v>
      </c>
      <c r="I16">
        <v>13</v>
      </c>
      <c r="J16" s="14">
        <v>98</v>
      </c>
      <c r="K16">
        <v>67</v>
      </c>
      <c r="L16">
        <v>58</v>
      </c>
      <c r="M16">
        <v>53</v>
      </c>
      <c r="N16">
        <v>33</v>
      </c>
      <c r="O16">
        <v>35</v>
      </c>
      <c r="P16">
        <v>24</v>
      </c>
      <c r="Q16">
        <v>21</v>
      </c>
      <c r="R16" s="14">
        <v>44</v>
      </c>
      <c r="S16">
        <v>32</v>
      </c>
      <c r="T16">
        <v>41</v>
      </c>
      <c r="U16">
        <v>54</v>
      </c>
      <c r="V16">
        <v>49</v>
      </c>
      <c r="W16">
        <v>40</v>
      </c>
      <c r="X16">
        <v>30</v>
      </c>
      <c r="Y16">
        <v>31</v>
      </c>
      <c r="Z16" s="14">
        <v>46</v>
      </c>
      <c r="AA16">
        <v>77</v>
      </c>
      <c r="AB16">
        <v>53</v>
      </c>
      <c r="AC16">
        <v>90</v>
      </c>
      <c r="AD16">
        <v>37</v>
      </c>
      <c r="AE16">
        <v>38</v>
      </c>
      <c r="AF16">
        <v>36</v>
      </c>
      <c r="AG16">
        <v>33</v>
      </c>
    </row>
    <row r="17" spans="1:33" x14ac:dyDescent="0.25">
      <c r="A17" t="s">
        <v>145</v>
      </c>
      <c r="B17">
        <v>36</v>
      </c>
      <c r="C17">
        <v>74</v>
      </c>
      <c r="D17" s="7"/>
      <c r="E17">
        <v>50</v>
      </c>
      <c r="F17">
        <v>73</v>
      </c>
      <c r="G17">
        <v>60</v>
      </c>
      <c r="H17">
        <v>42</v>
      </c>
      <c r="I17">
        <v>68</v>
      </c>
      <c r="J17" s="14">
        <v>68</v>
      </c>
      <c r="K17">
        <v>73</v>
      </c>
      <c r="L17" s="7"/>
      <c r="M17">
        <v>54</v>
      </c>
      <c r="N17">
        <v>85</v>
      </c>
      <c r="O17">
        <v>80</v>
      </c>
      <c r="P17">
        <v>67</v>
      </c>
      <c r="Q17" s="7"/>
      <c r="R17" s="14">
        <v>51</v>
      </c>
      <c r="S17">
        <v>86</v>
      </c>
      <c r="T17">
        <v>77</v>
      </c>
      <c r="U17">
        <v>53</v>
      </c>
      <c r="V17">
        <v>76</v>
      </c>
      <c r="W17">
        <v>44</v>
      </c>
      <c r="X17">
        <v>42</v>
      </c>
      <c r="Y17" s="7"/>
      <c r="Z17" s="14">
        <v>76</v>
      </c>
      <c r="AA17">
        <v>81</v>
      </c>
      <c r="AB17">
        <v>53</v>
      </c>
      <c r="AC17">
        <v>35</v>
      </c>
      <c r="AD17">
        <v>86</v>
      </c>
      <c r="AE17">
        <v>28</v>
      </c>
      <c r="AF17">
        <v>34</v>
      </c>
      <c r="AG17" s="7"/>
    </row>
    <row r="18" spans="1:33" x14ac:dyDescent="0.25">
      <c r="A18" t="s">
        <v>144</v>
      </c>
      <c r="B18">
        <v>35</v>
      </c>
      <c r="C18">
        <v>24</v>
      </c>
      <c r="D18">
        <v>52</v>
      </c>
      <c r="E18">
        <v>44</v>
      </c>
      <c r="F18">
        <v>36</v>
      </c>
      <c r="G18">
        <v>54</v>
      </c>
      <c r="H18">
        <v>55</v>
      </c>
      <c r="I18">
        <v>42</v>
      </c>
      <c r="J18" s="14">
        <v>42</v>
      </c>
      <c r="K18">
        <v>56</v>
      </c>
      <c r="L18">
        <v>62</v>
      </c>
      <c r="M18">
        <v>53</v>
      </c>
      <c r="N18">
        <v>40</v>
      </c>
      <c r="O18">
        <v>34</v>
      </c>
      <c r="P18">
        <v>30</v>
      </c>
      <c r="Q18">
        <v>52</v>
      </c>
      <c r="R18" s="14">
        <v>25</v>
      </c>
      <c r="S18">
        <v>21</v>
      </c>
      <c r="T18">
        <v>19</v>
      </c>
      <c r="U18">
        <v>17</v>
      </c>
      <c r="V18">
        <v>58</v>
      </c>
      <c r="W18">
        <v>38</v>
      </c>
      <c r="X18">
        <v>44</v>
      </c>
      <c r="Y18">
        <v>33</v>
      </c>
      <c r="Z18" s="14">
        <v>15</v>
      </c>
      <c r="AA18">
        <v>15</v>
      </c>
      <c r="AB18">
        <v>18</v>
      </c>
      <c r="AC18">
        <v>17</v>
      </c>
      <c r="AD18">
        <v>28</v>
      </c>
      <c r="AE18">
        <v>14</v>
      </c>
      <c r="AF18">
        <v>33</v>
      </c>
      <c r="AG18">
        <v>27</v>
      </c>
    </row>
    <row r="19" spans="1:33" x14ac:dyDescent="0.25">
      <c r="A19" t="s">
        <v>132</v>
      </c>
      <c r="B19">
        <v>64</v>
      </c>
      <c r="C19">
        <v>63</v>
      </c>
      <c r="D19">
        <v>55</v>
      </c>
      <c r="E19">
        <v>80</v>
      </c>
      <c r="F19">
        <v>64</v>
      </c>
      <c r="G19">
        <v>82</v>
      </c>
      <c r="H19">
        <v>60</v>
      </c>
      <c r="I19">
        <v>76</v>
      </c>
      <c r="J19" s="14">
        <v>64</v>
      </c>
      <c r="K19">
        <v>60</v>
      </c>
      <c r="L19">
        <v>58</v>
      </c>
      <c r="M19">
        <v>68</v>
      </c>
      <c r="N19">
        <v>66</v>
      </c>
      <c r="O19">
        <v>75</v>
      </c>
      <c r="P19">
        <v>53</v>
      </c>
      <c r="Q19">
        <v>65</v>
      </c>
      <c r="R19" s="14">
        <v>73</v>
      </c>
      <c r="S19">
        <v>31</v>
      </c>
      <c r="T19">
        <v>70</v>
      </c>
      <c r="U19">
        <v>42</v>
      </c>
      <c r="V19">
        <v>48</v>
      </c>
      <c r="W19">
        <v>36</v>
      </c>
      <c r="X19">
        <v>53</v>
      </c>
      <c r="Y19">
        <v>53</v>
      </c>
      <c r="Z19" s="14">
        <v>27</v>
      </c>
      <c r="AA19">
        <v>35</v>
      </c>
      <c r="AB19">
        <v>28</v>
      </c>
      <c r="AC19">
        <v>64</v>
      </c>
      <c r="AD19">
        <v>61</v>
      </c>
      <c r="AE19">
        <v>62</v>
      </c>
      <c r="AF19">
        <v>47</v>
      </c>
      <c r="AG19">
        <v>36</v>
      </c>
    </row>
    <row r="20" spans="1:33" x14ac:dyDescent="0.25">
      <c r="A20" t="s">
        <v>146</v>
      </c>
      <c r="B20">
        <v>3</v>
      </c>
      <c r="C20">
        <v>30</v>
      </c>
      <c r="D20">
        <v>14</v>
      </c>
      <c r="E20">
        <v>6</v>
      </c>
      <c r="F20">
        <v>3</v>
      </c>
      <c r="G20">
        <v>5</v>
      </c>
      <c r="H20">
        <v>7</v>
      </c>
      <c r="I20">
        <v>14</v>
      </c>
      <c r="J20" s="14">
        <v>0</v>
      </c>
      <c r="K20">
        <v>13</v>
      </c>
      <c r="L20">
        <v>3</v>
      </c>
      <c r="M20">
        <v>1</v>
      </c>
      <c r="N20">
        <v>2</v>
      </c>
      <c r="O20">
        <v>2</v>
      </c>
      <c r="P20">
        <v>3</v>
      </c>
      <c r="Q20">
        <v>2</v>
      </c>
      <c r="R20" s="14">
        <v>7</v>
      </c>
      <c r="S20">
        <v>7</v>
      </c>
      <c r="T20">
        <v>9</v>
      </c>
      <c r="U20">
        <v>12</v>
      </c>
      <c r="V20">
        <v>9</v>
      </c>
      <c r="W20">
        <v>5</v>
      </c>
      <c r="X20" s="7"/>
      <c r="Y20">
        <v>4</v>
      </c>
      <c r="Z20" s="14">
        <v>26</v>
      </c>
      <c r="AA20">
        <v>30</v>
      </c>
      <c r="AB20" s="5"/>
      <c r="AC20">
        <v>3</v>
      </c>
      <c r="AD20">
        <v>11</v>
      </c>
      <c r="AE20">
        <v>3</v>
      </c>
      <c r="AF20" s="7"/>
      <c r="AG20">
        <v>13</v>
      </c>
    </row>
    <row r="21" spans="1:33" x14ac:dyDescent="0.25">
      <c r="A21" t="s">
        <v>147</v>
      </c>
      <c r="B21">
        <v>33</v>
      </c>
      <c r="C21">
        <v>63</v>
      </c>
      <c r="D21">
        <v>71</v>
      </c>
      <c r="E21">
        <v>59</v>
      </c>
      <c r="F21">
        <v>33</v>
      </c>
      <c r="G21">
        <v>27</v>
      </c>
      <c r="H21">
        <v>21</v>
      </c>
      <c r="I21">
        <v>24</v>
      </c>
      <c r="J21" s="14">
        <v>30</v>
      </c>
      <c r="K21">
        <v>22</v>
      </c>
      <c r="L21" s="7"/>
      <c r="M21">
        <v>31</v>
      </c>
      <c r="N21">
        <v>58</v>
      </c>
      <c r="O21">
        <v>19</v>
      </c>
      <c r="P21">
        <v>18</v>
      </c>
      <c r="Q21">
        <v>13</v>
      </c>
      <c r="R21" s="14">
        <v>61</v>
      </c>
      <c r="S21">
        <v>66</v>
      </c>
      <c r="T21" s="7"/>
      <c r="U21">
        <v>16</v>
      </c>
      <c r="V21">
        <v>47</v>
      </c>
      <c r="W21">
        <v>43</v>
      </c>
      <c r="X21">
        <v>64</v>
      </c>
      <c r="Y21">
        <v>37</v>
      </c>
      <c r="Z21" s="14">
        <v>82</v>
      </c>
      <c r="AA21">
        <v>70</v>
      </c>
      <c r="AB21">
        <v>22</v>
      </c>
      <c r="AC21">
        <v>76</v>
      </c>
      <c r="AD21">
        <v>61</v>
      </c>
      <c r="AE21">
        <v>16</v>
      </c>
      <c r="AF21" s="7"/>
      <c r="AG21">
        <v>32</v>
      </c>
    </row>
    <row r="22" spans="1:33" x14ac:dyDescent="0.25">
      <c r="A22" t="s">
        <v>155</v>
      </c>
      <c r="B22">
        <v>0</v>
      </c>
      <c r="C22">
        <v>0</v>
      </c>
      <c r="D22">
        <v>1</v>
      </c>
      <c r="E22">
        <v>17</v>
      </c>
      <c r="F22">
        <v>1</v>
      </c>
      <c r="G22">
        <v>33</v>
      </c>
      <c r="H22">
        <v>3</v>
      </c>
      <c r="I22">
        <v>1</v>
      </c>
      <c r="J22" s="14">
        <v>1</v>
      </c>
      <c r="K22">
        <v>3</v>
      </c>
      <c r="L22">
        <v>68</v>
      </c>
      <c r="M22">
        <v>50</v>
      </c>
      <c r="N22">
        <v>24</v>
      </c>
      <c r="O22">
        <v>2</v>
      </c>
      <c r="P22">
        <v>3</v>
      </c>
      <c r="Q22">
        <v>3</v>
      </c>
      <c r="R22" s="14">
        <v>24</v>
      </c>
      <c r="S22">
        <v>8</v>
      </c>
      <c r="T22">
        <v>1</v>
      </c>
      <c r="U22">
        <v>2</v>
      </c>
      <c r="V22">
        <v>1</v>
      </c>
      <c r="W22">
        <v>2</v>
      </c>
      <c r="X22">
        <v>13</v>
      </c>
      <c r="Y22">
        <v>0</v>
      </c>
      <c r="Z22" s="14">
        <v>75</v>
      </c>
      <c r="AA22">
        <v>43</v>
      </c>
      <c r="AB22">
        <v>1</v>
      </c>
      <c r="AC22">
        <v>1</v>
      </c>
      <c r="AD22">
        <v>69</v>
      </c>
      <c r="AE22">
        <v>2</v>
      </c>
      <c r="AF22">
        <v>0</v>
      </c>
      <c r="AG22">
        <v>37</v>
      </c>
    </row>
    <row r="23" spans="1:33" x14ac:dyDescent="0.25">
      <c r="A23" t="s">
        <v>158</v>
      </c>
      <c r="B23">
        <v>3</v>
      </c>
      <c r="C23">
        <v>4</v>
      </c>
      <c r="D23">
        <v>5</v>
      </c>
      <c r="E23">
        <v>5</v>
      </c>
      <c r="F23">
        <v>3</v>
      </c>
      <c r="G23">
        <v>4</v>
      </c>
      <c r="H23">
        <v>3</v>
      </c>
      <c r="I23">
        <v>2</v>
      </c>
      <c r="J23" s="14">
        <v>4</v>
      </c>
      <c r="K23">
        <v>6</v>
      </c>
      <c r="L23" s="7"/>
      <c r="M23">
        <v>2</v>
      </c>
      <c r="N23">
        <v>7</v>
      </c>
      <c r="O23">
        <v>4</v>
      </c>
      <c r="P23">
        <v>4</v>
      </c>
      <c r="Q23">
        <v>58</v>
      </c>
      <c r="R23" s="14">
        <v>4</v>
      </c>
      <c r="S23">
        <v>5</v>
      </c>
      <c r="T23">
        <v>4</v>
      </c>
      <c r="U23">
        <v>3</v>
      </c>
      <c r="V23" s="7"/>
      <c r="W23">
        <v>5</v>
      </c>
      <c r="X23">
        <v>5</v>
      </c>
      <c r="Y23">
        <v>4</v>
      </c>
      <c r="Z23" s="18"/>
      <c r="AA23">
        <v>3</v>
      </c>
      <c r="AB23">
        <v>4</v>
      </c>
      <c r="AC23" s="7"/>
      <c r="AD23" s="7"/>
      <c r="AE23" s="7"/>
      <c r="AF23">
        <v>4</v>
      </c>
      <c r="AG23">
        <v>5</v>
      </c>
    </row>
    <row r="24" spans="1:33" x14ac:dyDescent="0.25">
      <c r="A24" t="s">
        <v>162</v>
      </c>
      <c r="B24">
        <v>26</v>
      </c>
      <c r="C24">
        <v>9</v>
      </c>
      <c r="D24">
        <v>13</v>
      </c>
      <c r="E24">
        <v>8</v>
      </c>
      <c r="F24">
        <v>16</v>
      </c>
      <c r="G24">
        <v>14</v>
      </c>
      <c r="H24">
        <v>16</v>
      </c>
      <c r="I24">
        <v>14</v>
      </c>
      <c r="J24" s="14">
        <v>48</v>
      </c>
      <c r="K24">
        <v>11</v>
      </c>
      <c r="L24">
        <v>10</v>
      </c>
      <c r="M24">
        <v>17</v>
      </c>
      <c r="N24">
        <v>8</v>
      </c>
      <c r="O24">
        <v>19</v>
      </c>
      <c r="P24">
        <v>9</v>
      </c>
      <c r="Q24">
        <v>9</v>
      </c>
      <c r="R24" s="14">
        <v>12</v>
      </c>
      <c r="S24">
        <v>11</v>
      </c>
      <c r="T24">
        <v>19</v>
      </c>
      <c r="U24">
        <v>11</v>
      </c>
      <c r="V24">
        <v>19</v>
      </c>
      <c r="W24">
        <v>6</v>
      </c>
      <c r="X24">
        <v>6</v>
      </c>
      <c r="Y24">
        <v>10</v>
      </c>
      <c r="Z24" s="14">
        <v>13</v>
      </c>
      <c r="AA24">
        <v>20</v>
      </c>
      <c r="AB24">
        <v>14</v>
      </c>
      <c r="AC24">
        <v>16</v>
      </c>
      <c r="AD24">
        <v>12</v>
      </c>
      <c r="AE24">
        <v>11</v>
      </c>
      <c r="AF24">
        <v>9</v>
      </c>
      <c r="AG24">
        <v>8</v>
      </c>
    </row>
    <row r="25" spans="1:33" x14ac:dyDescent="0.25">
      <c r="A25" t="s">
        <v>160</v>
      </c>
      <c r="B25">
        <v>22</v>
      </c>
      <c r="C25">
        <v>30</v>
      </c>
      <c r="D25">
        <v>22</v>
      </c>
      <c r="E25">
        <v>18</v>
      </c>
      <c r="F25">
        <v>18</v>
      </c>
      <c r="G25">
        <v>20</v>
      </c>
      <c r="H25">
        <v>15</v>
      </c>
      <c r="I25">
        <v>15</v>
      </c>
      <c r="J25" s="14">
        <v>21</v>
      </c>
      <c r="K25">
        <v>20</v>
      </c>
      <c r="L25">
        <v>12</v>
      </c>
      <c r="M25">
        <v>10</v>
      </c>
      <c r="N25">
        <v>15</v>
      </c>
      <c r="O25">
        <v>18</v>
      </c>
      <c r="P25">
        <v>6</v>
      </c>
      <c r="Q25">
        <v>9</v>
      </c>
      <c r="R25" s="14">
        <v>6</v>
      </c>
      <c r="S25">
        <v>18</v>
      </c>
      <c r="T25">
        <v>8</v>
      </c>
      <c r="U25">
        <v>20</v>
      </c>
      <c r="V25">
        <v>13</v>
      </c>
      <c r="W25">
        <v>17</v>
      </c>
      <c r="X25">
        <v>17</v>
      </c>
      <c r="Y25">
        <v>19</v>
      </c>
      <c r="Z25" s="14">
        <v>32</v>
      </c>
      <c r="AA25">
        <v>12</v>
      </c>
      <c r="AB25">
        <v>29</v>
      </c>
      <c r="AC25">
        <v>21</v>
      </c>
      <c r="AD25">
        <v>22</v>
      </c>
      <c r="AE25">
        <v>12</v>
      </c>
      <c r="AF25">
        <v>19</v>
      </c>
      <c r="AG25">
        <v>26</v>
      </c>
    </row>
    <row r="26" spans="1:33" x14ac:dyDescent="0.25">
      <c r="A26" t="s">
        <v>173</v>
      </c>
      <c r="B26">
        <v>34</v>
      </c>
      <c r="C26">
        <v>53</v>
      </c>
      <c r="D26">
        <v>55</v>
      </c>
      <c r="E26">
        <v>62</v>
      </c>
      <c r="F26">
        <v>62</v>
      </c>
      <c r="G26">
        <v>45</v>
      </c>
      <c r="H26">
        <v>64</v>
      </c>
      <c r="I26">
        <v>52</v>
      </c>
      <c r="J26" s="14">
        <v>20</v>
      </c>
      <c r="K26">
        <v>27</v>
      </c>
      <c r="L26">
        <v>68</v>
      </c>
      <c r="M26">
        <v>42</v>
      </c>
      <c r="N26">
        <v>54</v>
      </c>
      <c r="O26">
        <v>46</v>
      </c>
      <c r="P26">
        <v>32</v>
      </c>
      <c r="Q26">
        <v>48</v>
      </c>
      <c r="R26" s="14">
        <v>13</v>
      </c>
      <c r="S26">
        <v>25</v>
      </c>
      <c r="T26">
        <v>55</v>
      </c>
      <c r="U26">
        <v>39</v>
      </c>
      <c r="V26">
        <v>46</v>
      </c>
      <c r="W26">
        <v>52</v>
      </c>
      <c r="X26">
        <v>55</v>
      </c>
      <c r="Y26">
        <v>49</v>
      </c>
      <c r="Z26" s="14">
        <v>36</v>
      </c>
      <c r="AA26">
        <v>54</v>
      </c>
      <c r="AB26">
        <v>75</v>
      </c>
      <c r="AC26">
        <v>62</v>
      </c>
      <c r="AD26">
        <v>33</v>
      </c>
      <c r="AE26">
        <v>53</v>
      </c>
      <c r="AF26">
        <v>48</v>
      </c>
      <c r="AG26">
        <v>27</v>
      </c>
    </row>
    <row r="27" spans="1:33" x14ac:dyDescent="0.25">
      <c r="A27" t="s">
        <v>174</v>
      </c>
      <c r="B27">
        <v>45</v>
      </c>
      <c r="C27">
        <v>51</v>
      </c>
      <c r="D27">
        <v>50</v>
      </c>
      <c r="E27">
        <v>61</v>
      </c>
      <c r="F27">
        <v>53</v>
      </c>
      <c r="G27">
        <v>63</v>
      </c>
      <c r="H27">
        <v>63</v>
      </c>
      <c r="I27">
        <v>64</v>
      </c>
      <c r="J27" s="14">
        <v>52</v>
      </c>
      <c r="K27">
        <v>54</v>
      </c>
      <c r="L27">
        <v>56</v>
      </c>
      <c r="M27">
        <v>48</v>
      </c>
      <c r="N27">
        <v>48</v>
      </c>
      <c r="O27">
        <v>53</v>
      </c>
      <c r="P27">
        <v>60</v>
      </c>
      <c r="Q27">
        <v>63</v>
      </c>
      <c r="R27" s="14">
        <v>6</v>
      </c>
      <c r="S27">
        <v>20</v>
      </c>
      <c r="T27">
        <v>23</v>
      </c>
      <c r="U27">
        <v>24</v>
      </c>
      <c r="V27">
        <v>37</v>
      </c>
      <c r="W27">
        <v>42</v>
      </c>
      <c r="X27">
        <v>33</v>
      </c>
      <c r="Y27">
        <v>56</v>
      </c>
      <c r="Z27" s="14">
        <v>37</v>
      </c>
      <c r="AA27">
        <v>55</v>
      </c>
      <c r="AB27">
        <v>23</v>
      </c>
      <c r="AC27">
        <v>4</v>
      </c>
      <c r="AD27">
        <v>30</v>
      </c>
      <c r="AE27">
        <v>52</v>
      </c>
      <c r="AF27">
        <v>31</v>
      </c>
      <c r="AG27">
        <v>62</v>
      </c>
    </row>
    <row r="28" spans="1:33" x14ac:dyDescent="0.25">
      <c r="A28" t="s">
        <v>175</v>
      </c>
      <c r="B28">
        <v>68</v>
      </c>
      <c r="C28">
        <v>75</v>
      </c>
      <c r="D28">
        <v>85</v>
      </c>
      <c r="E28">
        <v>68</v>
      </c>
      <c r="F28">
        <v>80</v>
      </c>
      <c r="G28">
        <v>85</v>
      </c>
      <c r="H28">
        <v>85</v>
      </c>
      <c r="I28">
        <v>86</v>
      </c>
      <c r="J28" s="14">
        <v>80</v>
      </c>
      <c r="K28">
        <v>79</v>
      </c>
      <c r="L28">
        <v>74</v>
      </c>
      <c r="M28">
        <v>77</v>
      </c>
      <c r="N28">
        <v>81</v>
      </c>
      <c r="O28">
        <v>83</v>
      </c>
      <c r="P28">
        <v>78</v>
      </c>
      <c r="Q28">
        <v>90</v>
      </c>
      <c r="R28" s="14">
        <v>80</v>
      </c>
      <c r="S28">
        <v>65</v>
      </c>
      <c r="T28">
        <v>79</v>
      </c>
      <c r="U28">
        <v>78</v>
      </c>
      <c r="V28">
        <v>80</v>
      </c>
      <c r="W28">
        <v>86</v>
      </c>
      <c r="X28">
        <v>89</v>
      </c>
      <c r="Y28">
        <v>74</v>
      </c>
      <c r="Z28" s="14">
        <v>77</v>
      </c>
      <c r="AA28">
        <v>78</v>
      </c>
      <c r="AB28">
        <v>70</v>
      </c>
      <c r="AC28">
        <v>70</v>
      </c>
      <c r="AD28">
        <v>82</v>
      </c>
      <c r="AE28">
        <v>84</v>
      </c>
      <c r="AF28">
        <v>84</v>
      </c>
      <c r="AG28">
        <v>84</v>
      </c>
    </row>
    <row r="29" spans="1:33" x14ac:dyDescent="0.25">
      <c r="A29" t="s">
        <v>187</v>
      </c>
      <c r="B29">
        <v>38</v>
      </c>
      <c r="C29">
        <v>41</v>
      </c>
      <c r="D29">
        <v>39</v>
      </c>
      <c r="E29">
        <v>50</v>
      </c>
      <c r="F29">
        <v>45</v>
      </c>
      <c r="G29">
        <v>39</v>
      </c>
      <c r="H29">
        <v>25</v>
      </c>
      <c r="I29">
        <v>45</v>
      </c>
      <c r="J29" s="14">
        <v>43</v>
      </c>
      <c r="K29">
        <v>53</v>
      </c>
      <c r="L29">
        <v>62</v>
      </c>
      <c r="M29">
        <v>41</v>
      </c>
      <c r="N29">
        <v>34</v>
      </c>
      <c r="O29">
        <v>47</v>
      </c>
      <c r="P29">
        <v>29</v>
      </c>
      <c r="Q29">
        <v>39</v>
      </c>
      <c r="R29" s="14">
        <v>61</v>
      </c>
      <c r="S29">
        <v>34</v>
      </c>
      <c r="T29">
        <v>33</v>
      </c>
      <c r="U29">
        <v>38</v>
      </c>
      <c r="V29">
        <v>54</v>
      </c>
      <c r="W29">
        <v>45</v>
      </c>
      <c r="X29">
        <v>36</v>
      </c>
      <c r="Y29">
        <v>48</v>
      </c>
      <c r="Z29" s="14">
        <v>32</v>
      </c>
      <c r="AA29">
        <v>44</v>
      </c>
      <c r="AB29">
        <v>50</v>
      </c>
      <c r="AC29">
        <v>35</v>
      </c>
      <c r="AD29">
        <v>58</v>
      </c>
      <c r="AE29">
        <v>32</v>
      </c>
      <c r="AF29">
        <v>36</v>
      </c>
      <c r="AG29">
        <v>40</v>
      </c>
    </row>
    <row r="30" spans="1:33" x14ac:dyDescent="0.25">
      <c r="A30" t="s">
        <v>186</v>
      </c>
      <c r="B30">
        <v>9</v>
      </c>
      <c r="C30">
        <v>7</v>
      </c>
      <c r="D30">
        <v>3</v>
      </c>
      <c r="E30">
        <v>5</v>
      </c>
      <c r="F30">
        <v>29</v>
      </c>
      <c r="G30">
        <v>8</v>
      </c>
      <c r="H30">
        <v>4</v>
      </c>
      <c r="I30">
        <v>2</v>
      </c>
      <c r="J30" s="14">
        <v>10</v>
      </c>
      <c r="K30">
        <v>18</v>
      </c>
      <c r="L30">
        <v>23</v>
      </c>
      <c r="M30">
        <v>17</v>
      </c>
      <c r="N30">
        <v>23</v>
      </c>
      <c r="O30">
        <v>12</v>
      </c>
      <c r="P30">
        <v>4</v>
      </c>
      <c r="Q30">
        <v>3</v>
      </c>
      <c r="R30" s="14">
        <v>11</v>
      </c>
      <c r="S30">
        <v>7</v>
      </c>
      <c r="T30">
        <v>4</v>
      </c>
      <c r="U30">
        <v>4</v>
      </c>
      <c r="V30">
        <v>3</v>
      </c>
      <c r="W30">
        <v>4</v>
      </c>
      <c r="X30">
        <v>3</v>
      </c>
      <c r="Y30">
        <v>3</v>
      </c>
      <c r="Z30" s="14">
        <v>7</v>
      </c>
      <c r="AA30">
        <v>5</v>
      </c>
      <c r="AB30">
        <v>6</v>
      </c>
      <c r="AC30">
        <v>9</v>
      </c>
      <c r="AD30">
        <v>4</v>
      </c>
      <c r="AE30">
        <v>3</v>
      </c>
      <c r="AF30">
        <v>3</v>
      </c>
      <c r="AG30">
        <v>4</v>
      </c>
    </row>
    <row r="32" spans="1:33" s="25" customFormat="1" x14ac:dyDescent="0.25">
      <c r="A32" s="25" t="s">
        <v>1</v>
      </c>
      <c r="J32" s="31"/>
      <c r="R32" s="31"/>
      <c r="Z32" s="31"/>
    </row>
    <row r="33" spans="1:33" x14ac:dyDescent="0.25">
      <c r="A33" t="s">
        <v>3</v>
      </c>
      <c r="B33">
        <v>31</v>
      </c>
      <c r="C33">
        <v>31</v>
      </c>
      <c r="D33">
        <v>42</v>
      </c>
      <c r="E33">
        <v>30</v>
      </c>
      <c r="F33">
        <v>28</v>
      </c>
      <c r="G33">
        <v>37</v>
      </c>
      <c r="H33">
        <v>40</v>
      </c>
      <c r="I33">
        <v>8</v>
      </c>
      <c r="J33" s="18"/>
      <c r="K33" s="7"/>
      <c r="L33" s="7"/>
      <c r="M33" s="7"/>
      <c r="N33" s="7"/>
      <c r="O33" s="7"/>
      <c r="P33" s="7"/>
      <c r="Q33" s="7"/>
      <c r="R33" s="14">
        <v>27</v>
      </c>
      <c r="S33">
        <v>38</v>
      </c>
      <c r="T33">
        <v>46</v>
      </c>
      <c r="U33">
        <v>47</v>
      </c>
      <c r="V33">
        <v>44</v>
      </c>
      <c r="X33">
        <v>49</v>
      </c>
      <c r="Y33">
        <v>15</v>
      </c>
      <c r="Z33" s="14">
        <v>25</v>
      </c>
      <c r="AA33">
        <v>19</v>
      </c>
      <c r="AB33">
        <v>33</v>
      </c>
      <c r="AC33">
        <v>11</v>
      </c>
      <c r="AD33">
        <v>12</v>
      </c>
      <c r="AE33">
        <v>22</v>
      </c>
      <c r="AF33">
        <v>8</v>
      </c>
      <c r="AG33">
        <v>10</v>
      </c>
    </row>
    <row r="34" spans="1:33" x14ac:dyDescent="0.25">
      <c r="A34" t="s">
        <v>13</v>
      </c>
      <c r="B34">
        <v>31</v>
      </c>
      <c r="C34">
        <v>19</v>
      </c>
      <c r="D34">
        <v>54</v>
      </c>
      <c r="E34">
        <v>59</v>
      </c>
      <c r="F34">
        <v>60</v>
      </c>
      <c r="G34">
        <v>58</v>
      </c>
      <c r="H34">
        <v>54</v>
      </c>
      <c r="I34">
        <v>54</v>
      </c>
      <c r="J34" s="18"/>
      <c r="K34" s="7"/>
      <c r="L34" s="7"/>
      <c r="M34" s="7"/>
      <c r="N34" s="7"/>
      <c r="O34" s="7"/>
      <c r="P34" s="7"/>
      <c r="Q34" s="7"/>
      <c r="R34" s="14">
        <v>18</v>
      </c>
      <c r="S34">
        <v>40</v>
      </c>
      <c r="T34">
        <v>52</v>
      </c>
      <c r="U34">
        <v>73</v>
      </c>
      <c r="V34">
        <v>59</v>
      </c>
      <c r="W34">
        <v>59</v>
      </c>
      <c r="X34">
        <v>58</v>
      </c>
      <c r="Y34">
        <v>56</v>
      </c>
      <c r="Z34" s="14">
        <v>14</v>
      </c>
      <c r="AA34">
        <v>37</v>
      </c>
      <c r="AB34">
        <v>51</v>
      </c>
      <c r="AC34">
        <v>17</v>
      </c>
      <c r="AD34">
        <v>50</v>
      </c>
      <c r="AE34">
        <v>18</v>
      </c>
      <c r="AF34">
        <v>17</v>
      </c>
      <c r="AG34">
        <v>6</v>
      </c>
    </row>
    <row r="35" spans="1:33" x14ac:dyDescent="0.25">
      <c r="A35" t="s">
        <v>68</v>
      </c>
      <c r="B35">
        <v>49</v>
      </c>
      <c r="C35">
        <v>71</v>
      </c>
      <c r="D35">
        <v>56</v>
      </c>
      <c r="E35">
        <v>81</v>
      </c>
      <c r="F35">
        <v>85</v>
      </c>
      <c r="G35">
        <v>93</v>
      </c>
      <c r="H35">
        <v>67</v>
      </c>
      <c r="I35">
        <v>88</v>
      </c>
      <c r="J35" s="18"/>
      <c r="K35" s="7"/>
      <c r="L35" s="7"/>
      <c r="M35" s="7"/>
      <c r="N35" s="7"/>
      <c r="O35" s="7"/>
      <c r="P35" s="7"/>
      <c r="Q35" s="7"/>
      <c r="R35" s="14">
        <v>22</v>
      </c>
      <c r="S35">
        <v>66</v>
      </c>
      <c r="T35">
        <v>25</v>
      </c>
      <c r="U35">
        <v>68</v>
      </c>
      <c r="V35">
        <v>79</v>
      </c>
      <c r="W35">
        <v>45</v>
      </c>
      <c r="X35">
        <v>16</v>
      </c>
      <c r="Y35">
        <v>77</v>
      </c>
      <c r="Z35" s="14">
        <v>18</v>
      </c>
      <c r="AA35">
        <v>14</v>
      </c>
      <c r="AB35">
        <v>22</v>
      </c>
      <c r="AC35">
        <v>77</v>
      </c>
      <c r="AD35">
        <v>67</v>
      </c>
      <c r="AE35">
        <v>7</v>
      </c>
      <c r="AF35">
        <v>26</v>
      </c>
      <c r="AG35">
        <v>85</v>
      </c>
    </row>
    <row r="36" spans="1:33" x14ac:dyDescent="0.25">
      <c r="A36" t="s">
        <v>69</v>
      </c>
      <c r="B36">
        <v>63</v>
      </c>
      <c r="C36">
        <v>39</v>
      </c>
      <c r="D36">
        <v>5</v>
      </c>
      <c r="E36">
        <v>2</v>
      </c>
      <c r="F36">
        <v>53</v>
      </c>
      <c r="G36">
        <v>12</v>
      </c>
      <c r="H36">
        <v>1</v>
      </c>
      <c r="I36">
        <v>2</v>
      </c>
      <c r="J36" s="14">
        <v>2</v>
      </c>
      <c r="K36">
        <v>4</v>
      </c>
      <c r="L36">
        <v>1</v>
      </c>
      <c r="M36">
        <v>1</v>
      </c>
      <c r="N36">
        <v>2</v>
      </c>
      <c r="O36">
        <v>1</v>
      </c>
      <c r="P36">
        <v>1</v>
      </c>
      <c r="Q36">
        <v>1</v>
      </c>
      <c r="R36" s="14">
        <v>8</v>
      </c>
      <c r="S36">
        <v>13</v>
      </c>
      <c r="T36">
        <v>20</v>
      </c>
      <c r="U36">
        <v>2</v>
      </c>
      <c r="V36">
        <v>44</v>
      </c>
      <c r="W36">
        <v>4</v>
      </c>
      <c r="X36">
        <v>2</v>
      </c>
      <c r="Y36">
        <v>3</v>
      </c>
      <c r="Z36" s="14">
        <v>24</v>
      </c>
      <c r="AA36">
        <v>5</v>
      </c>
      <c r="AB36">
        <v>2</v>
      </c>
      <c r="AC36">
        <v>5</v>
      </c>
      <c r="AD36">
        <v>18</v>
      </c>
      <c r="AE36">
        <v>4</v>
      </c>
      <c r="AF36">
        <v>2</v>
      </c>
      <c r="AG36">
        <v>2</v>
      </c>
    </row>
    <row r="37" spans="1:33" x14ac:dyDescent="0.25">
      <c r="A37" t="s">
        <v>70</v>
      </c>
      <c r="B37">
        <v>38</v>
      </c>
      <c r="C37">
        <v>62</v>
      </c>
      <c r="D37">
        <v>66</v>
      </c>
      <c r="E37">
        <v>66</v>
      </c>
      <c r="F37">
        <v>75</v>
      </c>
      <c r="G37">
        <v>59</v>
      </c>
      <c r="H37">
        <v>65</v>
      </c>
      <c r="I37">
        <v>62</v>
      </c>
      <c r="J37" s="14">
        <v>1</v>
      </c>
      <c r="K37">
        <v>1</v>
      </c>
      <c r="L37">
        <v>1</v>
      </c>
      <c r="M37">
        <v>1</v>
      </c>
      <c r="N37">
        <v>1</v>
      </c>
      <c r="O37">
        <v>2</v>
      </c>
      <c r="P37">
        <v>2</v>
      </c>
      <c r="Q37">
        <v>3</v>
      </c>
      <c r="R37" s="14">
        <v>32</v>
      </c>
      <c r="S37">
        <v>67</v>
      </c>
      <c r="T37">
        <v>57</v>
      </c>
      <c r="U37">
        <v>63</v>
      </c>
      <c r="V37">
        <v>13</v>
      </c>
      <c r="W37">
        <v>17</v>
      </c>
      <c r="X37">
        <v>32</v>
      </c>
      <c r="Y37">
        <v>66</v>
      </c>
      <c r="Z37" s="14">
        <v>39</v>
      </c>
      <c r="AA37">
        <v>34</v>
      </c>
      <c r="AB37">
        <v>26</v>
      </c>
      <c r="AC37">
        <v>29</v>
      </c>
      <c r="AD37">
        <v>16</v>
      </c>
      <c r="AE37">
        <v>14</v>
      </c>
      <c r="AF37">
        <v>2</v>
      </c>
      <c r="AG37">
        <v>31</v>
      </c>
    </row>
    <row r="38" spans="1:33" x14ac:dyDescent="0.25">
      <c r="A38" t="s">
        <v>74</v>
      </c>
      <c r="B38">
        <v>69</v>
      </c>
      <c r="C38">
        <v>44</v>
      </c>
      <c r="D38">
        <v>50</v>
      </c>
      <c r="E38">
        <v>44</v>
      </c>
      <c r="F38">
        <v>44</v>
      </c>
      <c r="G38">
        <v>56</v>
      </c>
      <c r="H38">
        <v>29</v>
      </c>
      <c r="I38">
        <v>32</v>
      </c>
      <c r="J38" s="14">
        <v>19</v>
      </c>
      <c r="K38">
        <v>23</v>
      </c>
      <c r="L38">
        <v>21</v>
      </c>
      <c r="M38">
        <v>20</v>
      </c>
      <c r="N38">
        <v>35</v>
      </c>
      <c r="O38">
        <v>18</v>
      </c>
      <c r="P38">
        <v>26</v>
      </c>
      <c r="Q38">
        <v>27</v>
      </c>
      <c r="R38" s="14">
        <v>26</v>
      </c>
      <c r="S38">
        <v>22</v>
      </c>
      <c r="T38">
        <v>34</v>
      </c>
      <c r="U38">
        <v>37</v>
      </c>
      <c r="V38">
        <v>29</v>
      </c>
      <c r="W38">
        <v>49</v>
      </c>
      <c r="X38">
        <v>26</v>
      </c>
      <c r="Y38">
        <v>36</v>
      </c>
      <c r="Z38" s="14">
        <v>33</v>
      </c>
      <c r="AA38">
        <v>30</v>
      </c>
      <c r="AB38">
        <v>29</v>
      </c>
      <c r="AC38">
        <v>31</v>
      </c>
      <c r="AD38">
        <v>37</v>
      </c>
      <c r="AE38">
        <v>33</v>
      </c>
      <c r="AF38">
        <v>25</v>
      </c>
      <c r="AG38">
        <v>27</v>
      </c>
    </row>
    <row r="39" spans="1:33" x14ac:dyDescent="0.25">
      <c r="A39" t="s">
        <v>79</v>
      </c>
      <c r="B39">
        <v>73</v>
      </c>
      <c r="C39">
        <v>53</v>
      </c>
      <c r="D39">
        <v>59</v>
      </c>
      <c r="E39">
        <v>77</v>
      </c>
      <c r="F39">
        <v>79</v>
      </c>
      <c r="G39">
        <v>62</v>
      </c>
      <c r="H39">
        <v>62</v>
      </c>
      <c r="I39">
        <v>62</v>
      </c>
      <c r="J39" s="14">
        <v>10</v>
      </c>
      <c r="K39">
        <v>12</v>
      </c>
      <c r="L39">
        <v>37</v>
      </c>
      <c r="M39">
        <v>11</v>
      </c>
      <c r="N39">
        <v>51</v>
      </c>
      <c r="O39">
        <v>12</v>
      </c>
      <c r="P39">
        <v>9</v>
      </c>
      <c r="Q39">
        <v>14</v>
      </c>
      <c r="R39" s="14">
        <v>54</v>
      </c>
      <c r="S39">
        <v>61</v>
      </c>
      <c r="T39">
        <v>79</v>
      </c>
      <c r="U39">
        <v>55</v>
      </c>
      <c r="V39">
        <v>41</v>
      </c>
      <c r="W39">
        <v>17</v>
      </c>
      <c r="X39">
        <v>79</v>
      </c>
      <c r="Y39">
        <v>92</v>
      </c>
      <c r="Z39" s="14">
        <v>23</v>
      </c>
      <c r="AA39">
        <v>76</v>
      </c>
      <c r="AB39">
        <v>77</v>
      </c>
      <c r="AC39">
        <v>83</v>
      </c>
      <c r="AD39">
        <v>17</v>
      </c>
      <c r="AE39">
        <v>87</v>
      </c>
      <c r="AF39">
        <v>75</v>
      </c>
      <c r="AG39">
        <v>94</v>
      </c>
    </row>
    <row r="40" spans="1:33" x14ac:dyDescent="0.25">
      <c r="A40" t="s">
        <v>80</v>
      </c>
      <c r="B40">
        <v>20</v>
      </c>
      <c r="C40">
        <v>16</v>
      </c>
      <c r="D40">
        <v>17</v>
      </c>
      <c r="E40">
        <v>46</v>
      </c>
      <c r="F40">
        <v>48</v>
      </c>
      <c r="G40">
        <v>25</v>
      </c>
      <c r="H40">
        <v>15</v>
      </c>
      <c r="I40">
        <v>51</v>
      </c>
      <c r="J40" s="14">
        <v>29</v>
      </c>
      <c r="K40">
        <v>8</v>
      </c>
      <c r="L40">
        <v>2</v>
      </c>
      <c r="M40">
        <v>59</v>
      </c>
      <c r="N40">
        <v>23</v>
      </c>
      <c r="O40">
        <v>4</v>
      </c>
      <c r="P40">
        <v>33</v>
      </c>
      <c r="Q40">
        <v>45</v>
      </c>
      <c r="R40" s="14">
        <v>4</v>
      </c>
      <c r="S40">
        <v>23</v>
      </c>
      <c r="T40">
        <v>9</v>
      </c>
      <c r="U40">
        <v>17</v>
      </c>
      <c r="V40">
        <v>24</v>
      </c>
      <c r="W40">
        <v>17</v>
      </c>
      <c r="X40">
        <v>29</v>
      </c>
      <c r="Y40">
        <v>35</v>
      </c>
      <c r="Z40" s="14">
        <v>1</v>
      </c>
      <c r="AA40">
        <v>10</v>
      </c>
      <c r="AB40">
        <v>9</v>
      </c>
      <c r="AC40">
        <v>7</v>
      </c>
      <c r="AD40">
        <v>33</v>
      </c>
      <c r="AE40">
        <v>50</v>
      </c>
      <c r="AF40">
        <v>37</v>
      </c>
      <c r="AG40">
        <v>65</v>
      </c>
    </row>
    <row r="41" spans="1:33" x14ac:dyDescent="0.25">
      <c r="A41" t="s">
        <v>86</v>
      </c>
      <c r="B41">
        <v>1</v>
      </c>
      <c r="C41">
        <v>6</v>
      </c>
      <c r="D41">
        <v>21</v>
      </c>
      <c r="E41">
        <v>4</v>
      </c>
      <c r="F41">
        <v>4</v>
      </c>
      <c r="G41">
        <v>2</v>
      </c>
      <c r="H41">
        <v>10</v>
      </c>
      <c r="I41">
        <v>6</v>
      </c>
      <c r="J41" s="14">
        <v>1</v>
      </c>
      <c r="K41">
        <v>1</v>
      </c>
      <c r="L41">
        <v>2</v>
      </c>
      <c r="M41">
        <v>2</v>
      </c>
      <c r="N41">
        <v>5</v>
      </c>
      <c r="O41">
        <v>1</v>
      </c>
      <c r="P41">
        <v>4</v>
      </c>
      <c r="Q41">
        <v>2</v>
      </c>
      <c r="R41" s="14">
        <v>2</v>
      </c>
      <c r="S41">
        <v>5</v>
      </c>
      <c r="T41">
        <v>2</v>
      </c>
      <c r="U41">
        <v>2</v>
      </c>
      <c r="V41">
        <v>3</v>
      </c>
      <c r="W41">
        <v>4</v>
      </c>
      <c r="X41">
        <v>3</v>
      </c>
      <c r="Y41">
        <v>7</v>
      </c>
      <c r="Z41" s="14">
        <v>6</v>
      </c>
      <c r="AA41">
        <v>4</v>
      </c>
      <c r="AB41">
        <v>7</v>
      </c>
      <c r="AC41">
        <v>11</v>
      </c>
      <c r="AD41">
        <v>24</v>
      </c>
      <c r="AE41">
        <v>9</v>
      </c>
      <c r="AF41">
        <v>2</v>
      </c>
      <c r="AG41">
        <v>3</v>
      </c>
    </row>
    <row r="42" spans="1:33" x14ac:dyDescent="0.25">
      <c r="A42" t="s">
        <v>92</v>
      </c>
      <c r="B42">
        <v>33</v>
      </c>
      <c r="C42">
        <v>40</v>
      </c>
      <c r="D42">
        <v>22</v>
      </c>
      <c r="E42">
        <v>35</v>
      </c>
      <c r="F42">
        <v>14</v>
      </c>
      <c r="G42">
        <v>15</v>
      </c>
      <c r="H42">
        <v>5</v>
      </c>
      <c r="I42">
        <v>0</v>
      </c>
      <c r="J42" s="14">
        <v>34</v>
      </c>
      <c r="K42">
        <v>8</v>
      </c>
      <c r="L42">
        <v>20</v>
      </c>
      <c r="M42">
        <v>7</v>
      </c>
      <c r="N42">
        <v>10</v>
      </c>
      <c r="O42">
        <v>4</v>
      </c>
      <c r="P42">
        <v>3</v>
      </c>
      <c r="Q42">
        <v>4</v>
      </c>
      <c r="R42" s="14">
        <v>34</v>
      </c>
      <c r="S42">
        <v>17</v>
      </c>
      <c r="T42">
        <v>32</v>
      </c>
      <c r="U42">
        <v>37</v>
      </c>
      <c r="V42">
        <v>27</v>
      </c>
      <c r="W42">
        <v>9</v>
      </c>
      <c r="X42">
        <v>33</v>
      </c>
      <c r="Y42">
        <v>28</v>
      </c>
      <c r="Z42" s="14">
        <v>61</v>
      </c>
      <c r="AA42">
        <v>27</v>
      </c>
      <c r="AB42">
        <v>22</v>
      </c>
      <c r="AC42">
        <v>21</v>
      </c>
      <c r="AD42">
        <v>37</v>
      </c>
      <c r="AE42">
        <v>30</v>
      </c>
      <c r="AF42">
        <v>25</v>
      </c>
      <c r="AG42">
        <v>23</v>
      </c>
    </row>
    <row r="43" spans="1:33" x14ac:dyDescent="0.25">
      <c r="A43" t="s">
        <v>93</v>
      </c>
      <c r="B43">
        <v>15</v>
      </c>
      <c r="C43">
        <v>27</v>
      </c>
      <c r="D43">
        <v>15</v>
      </c>
      <c r="E43">
        <v>8</v>
      </c>
      <c r="F43">
        <v>9</v>
      </c>
      <c r="G43">
        <v>12</v>
      </c>
      <c r="H43">
        <v>6</v>
      </c>
      <c r="I43">
        <v>12</v>
      </c>
      <c r="J43" s="14">
        <v>6</v>
      </c>
      <c r="K43">
        <v>2</v>
      </c>
      <c r="L43">
        <v>4</v>
      </c>
      <c r="M43">
        <v>1</v>
      </c>
      <c r="N43">
        <v>3</v>
      </c>
      <c r="O43">
        <v>1</v>
      </c>
      <c r="P43">
        <v>2</v>
      </c>
      <c r="Q43">
        <v>1</v>
      </c>
      <c r="R43" s="14">
        <v>28</v>
      </c>
      <c r="S43">
        <v>17</v>
      </c>
      <c r="T43">
        <v>12</v>
      </c>
      <c r="U43">
        <v>8</v>
      </c>
      <c r="V43">
        <v>17</v>
      </c>
      <c r="W43">
        <v>18</v>
      </c>
      <c r="X43">
        <v>37</v>
      </c>
      <c r="Y43">
        <v>13</v>
      </c>
      <c r="Z43" s="14">
        <v>22</v>
      </c>
      <c r="AA43">
        <v>52</v>
      </c>
      <c r="AB43">
        <v>5</v>
      </c>
      <c r="AC43">
        <v>14</v>
      </c>
      <c r="AD43">
        <v>10</v>
      </c>
      <c r="AE43">
        <v>14</v>
      </c>
      <c r="AF43">
        <v>50</v>
      </c>
      <c r="AG43">
        <v>18</v>
      </c>
    </row>
    <row r="44" spans="1:33" x14ac:dyDescent="0.25">
      <c r="A44" t="s">
        <v>110</v>
      </c>
      <c r="B44">
        <v>23</v>
      </c>
      <c r="C44">
        <v>8</v>
      </c>
      <c r="D44">
        <v>0</v>
      </c>
      <c r="E44">
        <v>0</v>
      </c>
      <c r="F44">
        <v>4</v>
      </c>
      <c r="G44">
        <v>10</v>
      </c>
      <c r="H44">
        <v>8</v>
      </c>
      <c r="I44">
        <v>6</v>
      </c>
      <c r="J44" s="1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 s="14">
        <v>1</v>
      </c>
      <c r="S44">
        <v>0</v>
      </c>
      <c r="T44">
        <v>0</v>
      </c>
      <c r="U44">
        <v>0</v>
      </c>
      <c r="V44">
        <v>5</v>
      </c>
      <c r="W44">
        <v>6</v>
      </c>
      <c r="X44">
        <v>13</v>
      </c>
      <c r="Y44">
        <v>0</v>
      </c>
      <c r="Z44" s="14">
        <v>0</v>
      </c>
      <c r="AA44">
        <v>0</v>
      </c>
      <c r="AB44">
        <v>10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x14ac:dyDescent="0.25">
      <c r="A45" t="s">
        <v>120</v>
      </c>
      <c r="B45">
        <v>8</v>
      </c>
      <c r="C45">
        <v>19</v>
      </c>
      <c r="D45">
        <v>17</v>
      </c>
      <c r="E45" s="7"/>
      <c r="F45">
        <v>38</v>
      </c>
      <c r="G45">
        <v>30</v>
      </c>
      <c r="H45">
        <v>18</v>
      </c>
      <c r="I45">
        <v>11</v>
      </c>
      <c r="J45" s="14">
        <v>5</v>
      </c>
      <c r="K45">
        <v>6</v>
      </c>
      <c r="L45">
        <v>7</v>
      </c>
      <c r="M45" s="7"/>
      <c r="N45">
        <v>6</v>
      </c>
      <c r="O45">
        <v>11</v>
      </c>
      <c r="P45">
        <v>13</v>
      </c>
      <c r="Q45">
        <v>8</v>
      </c>
      <c r="R45" s="14">
        <v>24</v>
      </c>
      <c r="S45">
        <v>25</v>
      </c>
      <c r="T45">
        <v>14</v>
      </c>
      <c r="U45" s="7"/>
      <c r="V45">
        <v>30</v>
      </c>
      <c r="W45">
        <v>18</v>
      </c>
      <c r="X45">
        <v>8</v>
      </c>
      <c r="Y45">
        <v>13</v>
      </c>
      <c r="Z45" s="14">
        <v>15</v>
      </c>
      <c r="AA45">
        <v>21</v>
      </c>
      <c r="AB45">
        <v>19</v>
      </c>
      <c r="AC45" s="7"/>
      <c r="AD45">
        <v>14</v>
      </c>
      <c r="AE45">
        <v>21</v>
      </c>
      <c r="AF45">
        <v>6</v>
      </c>
      <c r="AG45">
        <v>10</v>
      </c>
    </row>
    <row r="46" spans="1:33" x14ac:dyDescent="0.25">
      <c r="A46" t="s">
        <v>125</v>
      </c>
      <c r="B46">
        <v>6</v>
      </c>
      <c r="C46">
        <v>8</v>
      </c>
      <c r="D46">
        <v>12</v>
      </c>
      <c r="E46">
        <v>6</v>
      </c>
      <c r="F46">
        <v>2</v>
      </c>
      <c r="G46">
        <v>1</v>
      </c>
      <c r="H46">
        <v>0</v>
      </c>
      <c r="I46">
        <v>0</v>
      </c>
      <c r="J46" s="14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 s="14">
        <v>8</v>
      </c>
      <c r="S46">
        <v>8</v>
      </c>
      <c r="T46">
        <v>7</v>
      </c>
      <c r="U46">
        <v>11</v>
      </c>
      <c r="V46">
        <v>5</v>
      </c>
      <c r="W46">
        <v>3</v>
      </c>
      <c r="X46">
        <v>0</v>
      </c>
      <c r="Y46">
        <v>13</v>
      </c>
      <c r="Z46" s="14">
        <v>10</v>
      </c>
      <c r="AA46">
        <v>8</v>
      </c>
      <c r="AB46">
        <v>8</v>
      </c>
      <c r="AC46">
        <v>8</v>
      </c>
      <c r="AD46">
        <v>3</v>
      </c>
      <c r="AE46">
        <v>2</v>
      </c>
      <c r="AF46">
        <v>11</v>
      </c>
      <c r="AG46">
        <v>6</v>
      </c>
    </row>
    <row r="47" spans="1:33" x14ac:dyDescent="0.25">
      <c r="A47" t="s">
        <v>130</v>
      </c>
      <c r="B47">
        <v>44</v>
      </c>
      <c r="C47">
        <v>25</v>
      </c>
      <c r="D47">
        <v>17</v>
      </c>
      <c r="E47">
        <v>10</v>
      </c>
      <c r="F47">
        <v>15</v>
      </c>
      <c r="G47">
        <v>9</v>
      </c>
      <c r="H47">
        <v>8</v>
      </c>
      <c r="I47">
        <v>9</v>
      </c>
      <c r="J47" s="14">
        <v>3</v>
      </c>
      <c r="K47">
        <v>11</v>
      </c>
      <c r="L47">
        <v>23</v>
      </c>
      <c r="M47">
        <v>25</v>
      </c>
      <c r="N47">
        <v>9</v>
      </c>
      <c r="O47">
        <v>8</v>
      </c>
      <c r="P47">
        <v>8</v>
      </c>
      <c r="Q47">
        <v>12</v>
      </c>
      <c r="R47" s="14">
        <v>34</v>
      </c>
      <c r="S47">
        <v>28</v>
      </c>
      <c r="T47">
        <v>32</v>
      </c>
      <c r="U47">
        <v>25</v>
      </c>
      <c r="V47">
        <v>10</v>
      </c>
      <c r="W47">
        <v>8</v>
      </c>
      <c r="X47">
        <v>9</v>
      </c>
      <c r="Y47">
        <v>12</v>
      </c>
      <c r="Z47" s="14">
        <v>30</v>
      </c>
      <c r="AA47">
        <v>23</v>
      </c>
      <c r="AB47">
        <v>14</v>
      </c>
      <c r="AC47">
        <v>20</v>
      </c>
      <c r="AD47">
        <v>16</v>
      </c>
      <c r="AE47">
        <v>11</v>
      </c>
      <c r="AF47">
        <v>10</v>
      </c>
      <c r="AG47">
        <v>14</v>
      </c>
    </row>
    <row r="48" spans="1:33" x14ac:dyDescent="0.25">
      <c r="A48" t="s">
        <v>145</v>
      </c>
      <c r="B48">
        <v>62</v>
      </c>
      <c r="C48">
        <v>82</v>
      </c>
      <c r="D48">
        <v>76</v>
      </c>
      <c r="E48">
        <v>57</v>
      </c>
      <c r="F48">
        <v>76</v>
      </c>
      <c r="G48">
        <v>51</v>
      </c>
      <c r="H48">
        <v>53</v>
      </c>
      <c r="I48">
        <v>72</v>
      </c>
      <c r="J48" s="14">
        <v>23</v>
      </c>
      <c r="K48">
        <v>63</v>
      </c>
      <c r="L48">
        <v>47</v>
      </c>
      <c r="M48">
        <v>12</v>
      </c>
      <c r="N48">
        <v>19</v>
      </c>
      <c r="O48">
        <v>32</v>
      </c>
      <c r="P48">
        <v>52</v>
      </c>
      <c r="Q48">
        <v>34</v>
      </c>
      <c r="R48" s="14">
        <v>24</v>
      </c>
      <c r="S48" s="5"/>
      <c r="T48">
        <v>51</v>
      </c>
      <c r="U48">
        <v>71</v>
      </c>
      <c r="V48">
        <v>64</v>
      </c>
      <c r="W48">
        <v>40</v>
      </c>
      <c r="X48">
        <v>37</v>
      </c>
      <c r="Y48">
        <v>14</v>
      </c>
      <c r="Z48" s="14">
        <v>72</v>
      </c>
      <c r="AA48" s="5"/>
      <c r="AB48">
        <v>87</v>
      </c>
      <c r="AC48">
        <v>42</v>
      </c>
      <c r="AD48">
        <v>38</v>
      </c>
      <c r="AE48">
        <v>10</v>
      </c>
      <c r="AF48">
        <v>38</v>
      </c>
      <c r="AG48">
        <v>32</v>
      </c>
    </row>
    <row r="49" spans="1:39" x14ac:dyDescent="0.25">
      <c r="A49" t="s">
        <v>144</v>
      </c>
      <c r="B49">
        <v>44</v>
      </c>
      <c r="C49">
        <v>59</v>
      </c>
      <c r="D49">
        <v>33</v>
      </c>
      <c r="E49">
        <v>29</v>
      </c>
      <c r="F49">
        <v>47</v>
      </c>
      <c r="G49">
        <v>60</v>
      </c>
      <c r="H49">
        <v>54</v>
      </c>
      <c r="I49">
        <v>26</v>
      </c>
      <c r="J49" s="14">
        <v>29</v>
      </c>
      <c r="K49">
        <v>22</v>
      </c>
      <c r="L49">
        <v>19</v>
      </c>
      <c r="M49">
        <v>19</v>
      </c>
      <c r="N49">
        <v>20</v>
      </c>
      <c r="O49">
        <v>24</v>
      </c>
      <c r="P49">
        <v>23</v>
      </c>
      <c r="Q49">
        <v>33</v>
      </c>
      <c r="R49" s="14">
        <v>37</v>
      </c>
      <c r="S49">
        <v>19</v>
      </c>
      <c r="T49">
        <v>20</v>
      </c>
      <c r="U49">
        <v>29</v>
      </c>
      <c r="V49">
        <v>15</v>
      </c>
      <c r="W49">
        <v>23</v>
      </c>
      <c r="X49">
        <v>16</v>
      </c>
      <c r="Y49">
        <v>18</v>
      </c>
      <c r="Z49" s="14">
        <v>32</v>
      </c>
      <c r="AA49">
        <v>21</v>
      </c>
      <c r="AB49">
        <v>26</v>
      </c>
      <c r="AC49">
        <v>13</v>
      </c>
      <c r="AD49">
        <v>19</v>
      </c>
      <c r="AE49">
        <v>22</v>
      </c>
      <c r="AF49">
        <v>17</v>
      </c>
      <c r="AG49">
        <v>13</v>
      </c>
    </row>
    <row r="50" spans="1:39" x14ac:dyDescent="0.25">
      <c r="A50" t="s">
        <v>132</v>
      </c>
      <c r="B50">
        <v>83</v>
      </c>
      <c r="C50">
        <v>67</v>
      </c>
      <c r="D50">
        <v>64</v>
      </c>
      <c r="E50">
        <v>75</v>
      </c>
      <c r="F50">
        <v>80</v>
      </c>
      <c r="G50">
        <v>67</v>
      </c>
      <c r="H50">
        <v>79</v>
      </c>
      <c r="I50">
        <v>78</v>
      </c>
      <c r="J50" s="14">
        <v>6</v>
      </c>
      <c r="K50">
        <v>27</v>
      </c>
      <c r="L50">
        <v>39</v>
      </c>
      <c r="M50">
        <v>13</v>
      </c>
      <c r="N50">
        <v>36</v>
      </c>
      <c r="O50">
        <v>26</v>
      </c>
      <c r="P50">
        <v>10</v>
      </c>
      <c r="Q50">
        <v>27</v>
      </c>
      <c r="R50" s="14">
        <v>59</v>
      </c>
      <c r="S50">
        <v>34</v>
      </c>
      <c r="T50">
        <v>32</v>
      </c>
      <c r="U50">
        <v>33</v>
      </c>
      <c r="V50">
        <v>48</v>
      </c>
      <c r="W50">
        <v>21</v>
      </c>
      <c r="X50">
        <v>30</v>
      </c>
      <c r="Y50">
        <v>85</v>
      </c>
      <c r="Z50" s="14">
        <v>31</v>
      </c>
      <c r="AA50">
        <v>23</v>
      </c>
      <c r="AB50">
        <v>45</v>
      </c>
      <c r="AC50">
        <v>36</v>
      </c>
      <c r="AD50">
        <v>47</v>
      </c>
      <c r="AE50">
        <v>67</v>
      </c>
      <c r="AF50">
        <v>21</v>
      </c>
      <c r="AG50">
        <v>34</v>
      </c>
    </row>
    <row r="51" spans="1:39" x14ac:dyDescent="0.25">
      <c r="A51" t="s">
        <v>146</v>
      </c>
      <c r="B51">
        <v>23</v>
      </c>
      <c r="C51">
        <v>8</v>
      </c>
      <c r="D51">
        <v>4</v>
      </c>
      <c r="E51">
        <v>5</v>
      </c>
      <c r="F51">
        <v>8</v>
      </c>
      <c r="G51">
        <v>10</v>
      </c>
      <c r="H51">
        <v>8</v>
      </c>
      <c r="I51">
        <v>4</v>
      </c>
      <c r="J51" s="14">
        <v>2</v>
      </c>
      <c r="K51">
        <v>2</v>
      </c>
      <c r="L51">
        <v>3</v>
      </c>
      <c r="M51">
        <v>3</v>
      </c>
      <c r="N51">
        <v>4</v>
      </c>
      <c r="O51">
        <v>1</v>
      </c>
      <c r="P51">
        <v>5</v>
      </c>
      <c r="Q51">
        <v>2</v>
      </c>
      <c r="R51" s="14">
        <v>26</v>
      </c>
      <c r="S51">
        <v>2</v>
      </c>
      <c r="T51">
        <v>4</v>
      </c>
      <c r="U51">
        <v>3</v>
      </c>
      <c r="V51">
        <v>10</v>
      </c>
      <c r="W51">
        <v>3</v>
      </c>
      <c r="X51">
        <v>3</v>
      </c>
      <c r="Y51">
        <v>5</v>
      </c>
      <c r="Z51" s="14">
        <v>9</v>
      </c>
      <c r="AA51">
        <v>3</v>
      </c>
      <c r="AB51">
        <v>6</v>
      </c>
      <c r="AC51">
        <v>18</v>
      </c>
      <c r="AD51">
        <v>4</v>
      </c>
      <c r="AE51">
        <v>6</v>
      </c>
      <c r="AF51">
        <v>3</v>
      </c>
      <c r="AG51">
        <v>2</v>
      </c>
    </row>
    <row r="52" spans="1:39" x14ac:dyDescent="0.25">
      <c r="A52" t="s">
        <v>147</v>
      </c>
      <c r="B52">
        <v>9</v>
      </c>
      <c r="C52">
        <v>63</v>
      </c>
      <c r="D52">
        <v>26</v>
      </c>
      <c r="E52">
        <v>56</v>
      </c>
      <c r="F52">
        <v>14</v>
      </c>
      <c r="G52">
        <v>38</v>
      </c>
      <c r="H52">
        <v>55</v>
      </c>
      <c r="I52">
        <v>49</v>
      </c>
      <c r="J52" s="14">
        <v>3</v>
      </c>
      <c r="K52">
        <v>58</v>
      </c>
      <c r="L52">
        <v>50</v>
      </c>
      <c r="M52">
        <v>32</v>
      </c>
      <c r="N52">
        <v>41</v>
      </c>
      <c r="O52">
        <v>35</v>
      </c>
      <c r="P52">
        <v>7</v>
      </c>
      <c r="Q52">
        <v>14</v>
      </c>
      <c r="R52" s="14">
        <v>40</v>
      </c>
      <c r="S52">
        <v>67</v>
      </c>
      <c r="T52">
        <v>80</v>
      </c>
      <c r="U52">
        <v>75</v>
      </c>
      <c r="V52">
        <v>54</v>
      </c>
      <c r="W52">
        <v>61</v>
      </c>
      <c r="X52">
        <v>85</v>
      </c>
      <c r="Y52">
        <v>27</v>
      </c>
      <c r="Z52" s="14">
        <v>30</v>
      </c>
      <c r="AA52">
        <v>20</v>
      </c>
      <c r="AB52">
        <v>48</v>
      </c>
      <c r="AC52">
        <v>98</v>
      </c>
      <c r="AD52">
        <v>67</v>
      </c>
      <c r="AE52">
        <v>28</v>
      </c>
      <c r="AF52">
        <v>60</v>
      </c>
      <c r="AG52">
        <v>71</v>
      </c>
    </row>
    <row r="53" spans="1:39" x14ac:dyDescent="0.25">
      <c r="A53" t="s">
        <v>155</v>
      </c>
      <c r="B53">
        <v>2</v>
      </c>
      <c r="C53">
        <v>0</v>
      </c>
      <c r="D53">
        <v>0</v>
      </c>
      <c r="E53" s="5"/>
      <c r="F53">
        <v>1</v>
      </c>
      <c r="G53">
        <v>0</v>
      </c>
      <c r="H53">
        <v>0</v>
      </c>
      <c r="I53">
        <v>0</v>
      </c>
      <c r="J53" s="14">
        <v>2</v>
      </c>
      <c r="K53">
        <v>1</v>
      </c>
      <c r="L53">
        <v>0</v>
      </c>
      <c r="M53" s="5"/>
      <c r="N53">
        <v>0</v>
      </c>
      <c r="O53">
        <v>0</v>
      </c>
      <c r="P53">
        <v>0</v>
      </c>
      <c r="Q53">
        <v>0</v>
      </c>
      <c r="R53" s="14">
        <v>1</v>
      </c>
      <c r="S53">
        <v>2</v>
      </c>
      <c r="T53">
        <v>1</v>
      </c>
      <c r="U53" s="5"/>
      <c r="V53">
        <v>0</v>
      </c>
      <c r="W53">
        <v>0</v>
      </c>
      <c r="X53">
        <v>0</v>
      </c>
      <c r="Y53">
        <v>1</v>
      </c>
      <c r="Z53" s="14">
        <v>0</v>
      </c>
      <c r="AA53">
        <v>31</v>
      </c>
      <c r="AB53">
        <v>1</v>
      </c>
      <c r="AC53" s="5"/>
      <c r="AD53">
        <v>1</v>
      </c>
      <c r="AE53">
        <v>1</v>
      </c>
      <c r="AF53">
        <v>0</v>
      </c>
      <c r="AG53">
        <v>0</v>
      </c>
    </row>
    <row r="54" spans="1:39" x14ac:dyDescent="0.25">
      <c r="A54" t="s">
        <v>158</v>
      </c>
      <c r="B54">
        <v>2</v>
      </c>
      <c r="C54">
        <v>3</v>
      </c>
      <c r="D54">
        <v>3</v>
      </c>
      <c r="E54">
        <v>4</v>
      </c>
      <c r="F54">
        <v>3</v>
      </c>
      <c r="G54">
        <v>7</v>
      </c>
      <c r="H54">
        <v>1</v>
      </c>
      <c r="I54">
        <v>4</v>
      </c>
      <c r="J54" s="14">
        <v>2</v>
      </c>
      <c r="K54" s="19">
        <v>2</v>
      </c>
      <c r="L54" s="19">
        <v>2</v>
      </c>
      <c r="M54" s="19">
        <v>0</v>
      </c>
      <c r="N54">
        <v>4</v>
      </c>
      <c r="O54">
        <v>3</v>
      </c>
      <c r="P54">
        <v>2</v>
      </c>
      <c r="Q54">
        <v>2</v>
      </c>
      <c r="R54" s="14">
        <v>3</v>
      </c>
      <c r="S54" s="19">
        <v>4</v>
      </c>
      <c r="T54" s="19">
        <v>2</v>
      </c>
      <c r="U54" s="19">
        <v>3</v>
      </c>
      <c r="V54" s="5"/>
      <c r="W54">
        <v>1</v>
      </c>
      <c r="X54">
        <v>2</v>
      </c>
      <c r="Y54" s="5"/>
      <c r="Z54" s="14">
        <v>2</v>
      </c>
      <c r="AA54" s="19">
        <v>5</v>
      </c>
      <c r="AB54" s="19">
        <v>4</v>
      </c>
      <c r="AC54" s="19">
        <v>62</v>
      </c>
      <c r="AD54">
        <v>3</v>
      </c>
      <c r="AE54">
        <v>2</v>
      </c>
      <c r="AF54">
        <v>2</v>
      </c>
      <c r="AG54" s="5"/>
    </row>
    <row r="55" spans="1:39" x14ac:dyDescent="0.25">
      <c r="A55" t="s">
        <v>162</v>
      </c>
      <c r="B55">
        <v>54</v>
      </c>
      <c r="C55">
        <v>34</v>
      </c>
      <c r="D55">
        <v>15</v>
      </c>
      <c r="E55">
        <v>15</v>
      </c>
      <c r="F55">
        <v>40</v>
      </c>
      <c r="G55">
        <v>17</v>
      </c>
      <c r="H55">
        <v>9</v>
      </c>
      <c r="I55">
        <v>15</v>
      </c>
      <c r="J55" s="14">
        <v>4</v>
      </c>
      <c r="K55">
        <v>9</v>
      </c>
      <c r="L55">
        <v>11</v>
      </c>
      <c r="M55">
        <v>13</v>
      </c>
      <c r="N55">
        <v>7</v>
      </c>
      <c r="O55">
        <v>11</v>
      </c>
      <c r="P55">
        <v>6</v>
      </c>
      <c r="Q55">
        <v>8</v>
      </c>
      <c r="R55" s="14">
        <v>43</v>
      </c>
      <c r="S55">
        <v>45</v>
      </c>
      <c r="T55">
        <v>8</v>
      </c>
      <c r="U55">
        <v>27</v>
      </c>
      <c r="V55">
        <v>14</v>
      </c>
      <c r="W55">
        <v>14</v>
      </c>
      <c r="X55">
        <v>16</v>
      </c>
      <c r="Y55">
        <v>10</v>
      </c>
      <c r="Z55" s="14">
        <v>34</v>
      </c>
      <c r="AA55">
        <v>16</v>
      </c>
      <c r="AB55">
        <v>17</v>
      </c>
      <c r="AC55">
        <v>18</v>
      </c>
      <c r="AD55">
        <v>13</v>
      </c>
      <c r="AE55">
        <v>10</v>
      </c>
      <c r="AF55" s="5"/>
      <c r="AG55">
        <v>22</v>
      </c>
    </row>
    <row r="56" spans="1:39" x14ac:dyDescent="0.25">
      <c r="A56" t="s">
        <v>160</v>
      </c>
      <c r="B56">
        <v>15</v>
      </c>
      <c r="C56">
        <v>16</v>
      </c>
      <c r="D56">
        <v>24</v>
      </c>
      <c r="E56">
        <v>15</v>
      </c>
      <c r="F56">
        <v>18</v>
      </c>
      <c r="G56">
        <v>12</v>
      </c>
      <c r="H56">
        <v>13</v>
      </c>
      <c r="I56">
        <v>11</v>
      </c>
      <c r="J56" s="14">
        <v>18</v>
      </c>
      <c r="K56">
        <v>10</v>
      </c>
      <c r="L56">
        <v>18</v>
      </c>
      <c r="M56">
        <v>16</v>
      </c>
      <c r="N56">
        <v>16</v>
      </c>
      <c r="O56">
        <v>10</v>
      </c>
      <c r="P56">
        <v>6</v>
      </c>
      <c r="Q56">
        <v>9</v>
      </c>
      <c r="R56" s="14">
        <v>16</v>
      </c>
      <c r="S56">
        <v>10</v>
      </c>
      <c r="T56">
        <v>21</v>
      </c>
      <c r="U56">
        <v>17</v>
      </c>
      <c r="V56">
        <v>11</v>
      </c>
      <c r="W56">
        <v>8</v>
      </c>
      <c r="X56">
        <v>6</v>
      </c>
      <c r="Y56">
        <v>8</v>
      </c>
      <c r="Z56" s="14">
        <v>12</v>
      </c>
      <c r="AA56">
        <v>8</v>
      </c>
      <c r="AB56">
        <v>9</v>
      </c>
      <c r="AC56">
        <v>9</v>
      </c>
      <c r="AD56">
        <v>8</v>
      </c>
      <c r="AE56">
        <v>8</v>
      </c>
      <c r="AF56">
        <v>6</v>
      </c>
      <c r="AG56">
        <v>9</v>
      </c>
    </row>
    <row r="57" spans="1:39" x14ac:dyDescent="0.25">
      <c r="A57" t="s">
        <v>173</v>
      </c>
      <c r="B57">
        <v>29</v>
      </c>
      <c r="C57">
        <v>31</v>
      </c>
      <c r="D57">
        <v>20</v>
      </c>
      <c r="E57">
        <v>27</v>
      </c>
      <c r="F57">
        <v>38</v>
      </c>
      <c r="G57">
        <v>23</v>
      </c>
      <c r="H57">
        <v>23</v>
      </c>
      <c r="I57">
        <v>16</v>
      </c>
      <c r="J57" s="14">
        <v>10</v>
      </c>
      <c r="K57">
        <v>11</v>
      </c>
      <c r="L57">
        <v>10</v>
      </c>
      <c r="M57">
        <v>9</v>
      </c>
      <c r="N57">
        <v>50</v>
      </c>
      <c r="O57">
        <v>25</v>
      </c>
      <c r="P57">
        <v>17</v>
      </c>
      <c r="Q57">
        <v>14</v>
      </c>
      <c r="R57" s="14">
        <v>21</v>
      </c>
      <c r="S57">
        <v>18</v>
      </c>
      <c r="T57">
        <v>20</v>
      </c>
      <c r="U57" s="5"/>
      <c r="V57">
        <v>20</v>
      </c>
      <c r="W57">
        <v>25</v>
      </c>
      <c r="X57">
        <v>15</v>
      </c>
      <c r="Y57">
        <v>14</v>
      </c>
      <c r="Z57" s="14">
        <v>42</v>
      </c>
      <c r="AA57">
        <v>10</v>
      </c>
      <c r="AB57">
        <v>18</v>
      </c>
      <c r="AC57" s="5"/>
      <c r="AD57">
        <v>19</v>
      </c>
      <c r="AE57">
        <v>19</v>
      </c>
      <c r="AF57">
        <v>19</v>
      </c>
      <c r="AG57">
        <v>19</v>
      </c>
    </row>
    <row r="58" spans="1:39" x14ac:dyDescent="0.25">
      <c r="A58" t="s">
        <v>174</v>
      </c>
      <c r="B58">
        <v>49</v>
      </c>
      <c r="C58">
        <v>66</v>
      </c>
      <c r="D58">
        <v>60</v>
      </c>
      <c r="E58">
        <v>63</v>
      </c>
      <c r="F58">
        <v>57</v>
      </c>
      <c r="G58">
        <v>59</v>
      </c>
      <c r="H58">
        <v>62</v>
      </c>
      <c r="I58">
        <v>46</v>
      </c>
      <c r="J58" s="14">
        <v>49</v>
      </c>
      <c r="K58">
        <v>15</v>
      </c>
      <c r="L58">
        <v>8</v>
      </c>
      <c r="M58">
        <v>13</v>
      </c>
      <c r="N58">
        <v>17</v>
      </c>
      <c r="O58">
        <v>19</v>
      </c>
      <c r="P58">
        <v>14</v>
      </c>
      <c r="Q58">
        <v>15</v>
      </c>
      <c r="R58" s="14">
        <v>35</v>
      </c>
      <c r="S58">
        <v>49</v>
      </c>
      <c r="T58">
        <v>36</v>
      </c>
      <c r="U58">
        <v>40</v>
      </c>
      <c r="V58">
        <v>23</v>
      </c>
      <c r="W58">
        <v>26</v>
      </c>
      <c r="X58">
        <v>44</v>
      </c>
      <c r="Y58">
        <v>49</v>
      </c>
      <c r="Z58" s="14">
        <v>50</v>
      </c>
      <c r="AA58">
        <v>37</v>
      </c>
      <c r="AB58">
        <v>37</v>
      </c>
      <c r="AC58">
        <v>62</v>
      </c>
      <c r="AD58">
        <v>5</v>
      </c>
      <c r="AE58">
        <v>21</v>
      </c>
      <c r="AF58">
        <v>28</v>
      </c>
      <c r="AG58">
        <v>36</v>
      </c>
    </row>
    <row r="59" spans="1:39" x14ac:dyDescent="0.25">
      <c r="A59" t="s">
        <v>175</v>
      </c>
      <c r="B59">
        <v>46</v>
      </c>
      <c r="C59">
        <v>51</v>
      </c>
      <c r="D59">
        <v>72</v>
      </c>
      <c r="E59">
        <v>69</v>
      </c>
      <c r="F59">
        <v>62</v>
      </c>
      <c r="G59">
        <v>48</v>
      </c>
      <c r="H59">
        <v>77</v>
      </c>
      <c r="I59">
        <v>64</v>
      </c>
      <c r="J59" s="14">
        <v>24</v>
      </c>
      <c r="K59">
        <v>50</v>
      </c>
      <c r="L59">
        <v>78</v>
      </c>
      <c r="M59">
        <v>58</v>
      </c>
      <c r="N59">
        <v>45</v>
      </c>
      <c r="O59">
        <v>57</v>
      </c>
      <c r="P59">
        <v>54</v>
      </c>
      <c r="Q59">
        <v>59</v>
      </c>
      <c r="R59" s="14">
        <v>51</v>
      </c>
      <c r="S59">
        <v>68</v>
      </c>
      <c r="T59">
        <v>64</v>
      </c>
      <c r="U59">
        <v>70</v>
      </c>
      <c r="V59">
        <v>61</v>
      </c>
      <c r="W59">
        <v>49</v>
      </c>
      <c r="X59">
        <v>47</v>
      </c>
      <c r="Y59">
        <v>64</v>
      </c>
      <c r="Z59" s="14">
        <v>62</v>
      </c>
      <c r="AA59">
        <v>68</v>
      </c>
      <c r="AB59">
        <v>64</v>
      </c>
      <c r="AC59">
        <v>60</v>
      </c>
      <c r="AD59">
        <v>47</v>
      </c>
      <c r="AE59">
        <v>64</v>
      </c>
      <c r="AF59">
        <v>64</v>
      </c>
      <c r="AG59">
        <v>53</v>
      </c>
    </row>
    <row r="60" spans="1:39" x14ac:dyDescent="0.25">
      <c r="A60" t="s">
        <v>187</v>
      </c>
      <c r="B60">
        <v>34</v>
      </c>
      <c r="C60">
        <v>39</v>
      </c>
      <c r="D60">
        <v>45</v>
      </c>
      <c r="E60">
        <v>52</v>
      </c>
      <c r="F60">
        <v>53</v>
      </c>
      <c r="G60">
        <v>47</v>
      </c>
      <c r="H60">
        <v>53</v>
      </c>
      <c r="I60">
        <v>41</v>
      </c>
      <c r="J60" s="14">
        <v>47</v>
      </c>
      <c r="K60">
        <v>55</v>
      </c>
      <c r="L60">
        <v>49</v>
      </c>
      <c r="M60">
        <v>47</v>
      </c>
      <c r="N60">
        <v>38</v>
      </c>
      <c r="O60">
        <v>49</v>
      </c>
      <c r="P60">
        <v>46</v>
      </c>
      <c r="Q60">
        <v>53</v>
      </c>
      <c r="R60" s="14">
        <v>52</v>
      </c>
      <c r="S60">
        <v>49</v>
      </c>
      <c r="T60">
        <v>37</v>
      </c>
      <c r="U60">
        <v>52</v>
      </c>
      <c r="V60">
        <v>52</v>
      </c>
      <c r="W60">
        <v>47</v>
      </c>
      <c r="X60">
        <v>55</v>
      </c>
      <c r="Y60">
        <v>62</v>
      </c>
      <c r="Z60" s="14">
        <v>55</v>
      </c>
      <c r="AA60">
        <v>53</v>
      </c>
      <c r="AB60">
        <v>52</v>
      </c>
      <c r="AC60">
        <v>39</v>
      </c>
      <c r="AD60">
        <v>37</v>
      </c>
      <c r="AE60">
        <v>40</v>
      </c>
      <c r="AF60">
        <v>45</v>
      </c>
      <c r="AG60">
        <v>47</v>
      </c>
    </row>
    <row r="61" spans="1:39" x14ac:dyDescent="0.25">
      <c r="A61" t="s">
        <v>186</v>
      </c>
      <c r="B61">
        <v>5</v>
      </c>
      <c r="C61">
        <v>5</v>
      </c>
      <c r="D61">
        <v>19</v>
      </c>
      <c r="E61">
        <v>20</v>
      </c>
      <c r="F61">
        <v>10</v>
      </c>
      <c r="G61">
        <v>8</v>
      </c>
      <c r="H61">
        <v>8</v>
      </c>
      <c r="I61">
        <v>12</v>
      </c>
      <c r="J61" s="14">
        <v>14</v>
      </c>
      <c r="K61">
        <v>4</v>
      </c>
      <c r="L61">
        <v>4</v>
      </c>
      <c r="M61">
        <v>3</v>
      </c>
      <c r="N61">
        <v>4</v>
      </c>
      <c r="O61">
        <v>11</v>
      </c>
      <c r="P61">
        <v>3</v>
      </c>
      <c r="Q61">
        <v>4</v>
      </c>
      <c r="R61" s="14">
        <v>3</v>
      </c>
      <c r="S61">
        <v>13</v>
      </c>
      <c r="T61">
        <v>7</v>
      </c>
      <c r="U61">
        <v>6</v>
      </c>
      <c r="V61">
        <v>6</v>
      </c>
      <c r="W61">
        <v>15</v>
      </c>
      <c r="X61">
        <v>5</v>
      </c>
      <c r="Y61">
        <v>6</v>
      </c>
      <c r="Z61" s="14">
        <v>5</v>
      </c>
      <c r="AA61">
        <v>4</v>
      </c>
      <c r="AB61">
        <v>6</v>
      </c>
      <c r="AC61">
        <v>6</v>
      </c>
      <c r="AD61">
        <v>4</v>
      </c>
      <c r="AE61">
        <v>5</v>
      </c>
      <c r="AF61">
        <v>7</v>
      </c>
      <c r="AG61">
        <v>3</v>
      </c>
    </row>
    <row r="63" spans="1:39" x14ac:dyDescent="0.25">
      <c r="AI63" s="25"/>
      <c r="AJ63" s="37"/>
      <c r="AK63" s="37"/>
      <c r="AL63" s="37"/>
      <c r="AM63" s="37"/>
    </row>
    <row r="65" spans="35:39" x14ac:dyDescent="0.25">
      <c r="AI65" s="25"/>
      <c r="AJ65" s="12"/>
      <c r="AK65" s="12"/>
      <c r="AL65" s="12"/>
      <c r="AM65" s="12"/>
    </row>
    <row r="66" spans="35:39" x14ac:dyDescent="0.25">
      <c r="AI66" s="25"/>
      <c r="AJ66" s="12"/>
      <c r="AK66" s="12"/>
      <c r="AL66" s="12"/>
      <c r="AM66" s="12"/>
    </row>
    <row r="67" spans="35:39" x14ac:dyDescent="0.25">
      <c r="AJ67" s="12"/>
      <c r="AK67" s="12"/>
      <c r="AL67" s="12"/>
      <c r="AM67" s="12"/>
    </row>
    <row r="68" spans="35:39" x14ac:dyDescent="0.25">
      <c r="AI68" s="25"/>
      <c r="AJ68" s="12"/>
      <c r="AK68" s="12"/>
      <c r="AL68" s="12"/>
      <c r="AM68" s="12"/>
    </row>
    <row r="69" spans="35:39" x14ac:dyDescent="0.25">
      <c r="AI69" s="25"/>
      <c r="AJ69" s="12"/>
      <c r="AK69" s="12"/>
      <c r="AL69" s="12"/>
      <c r="AM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M69"/>
  <sheetViews>
    <sheetView zoomScale="55" zoomScaleNormal="55" workbookViewId="0">
      <selection activeCell="Z48" sqref="Z48"/>
    </sheetView>
  </sheetViews>
  <sheetFormatPr defaultRowHeight="15" x14ac:dyDescent="0.25"/>
  <cols>
    <col min="10" max="10" width="9.140625" style="14"/>
    <col min="18" max="18" width="9.140625" style="14"/>
    <col min="26" max="26" width="9.140625" style="14"/>
  </cols>
  <sheetData>
    <row r="1" spans="1:33" s="25" customFormat="1" x14ac:dyDescent="0.25">
      <c r="A1" s="25" t="s">
        <v>0</v>
      </c>
      <c r="B1" s="25" t="s">
        <v>205</v>
      </c>
      <c r="C1" s="25" t="s">
        <v>206</v>
      </c>
      <c r="D1" s="25" t="s">
        <v>207</v>
      </c>
      <c r="E1" s="25" t="s">
        <v>208</v>
      </c>
      <c r="F1" s="25" t="s">
        <v>209</v>
      </c>
      <c r="G1" s="25" t="s">
        <v>210</v>
      </c>
      <c r="H1" s="25" t="s">
        <v>211</v>
      </c>
      <c r="I1" s="25" t="s">
        <v>212</v>
      </c>
      <c r="J1" s="25" t="s">
        <v>213</v>
      </c>
      <c r="K1" s="25" t="s">
        <v>214</v>
      </c>
      <c r="L1" s="25" t="s">
        <v>215</v>
      </c>
      <c r="M1" s="25" t="s">
        <v>216</v>
      </c>
      <c r="N1" s="25" t="s">
        <v>217</v>
      </c>
      <c r="O1" s="25" t="s">
        <v>218</v>
      </c>
      <c r="P1" s="25" t="s">
        <v>219</v>
      </c>
      <c r="Q1" s="25" t="s">
        <v>220</v>
      </c>
      <c r="R1" s="31" t="s">
        <v>221</v>
      </c>
      <c r="S1" s="25" t="s">
        <v>222</v>
      </c>
      <c r="T1" s="25" t="s">
        <v>223</v>
      </c>
      <c r="U1" s="25" t="s">
        <v>224</v>
      </c>
      <c r="V1" s="25" t="s">
        <v>225</v>
      </c>
      <c r="W1" s="25" t="s">
        <v>226</v>
      </c>
      <c r="X1" s="25" t="s">
        <v>227</v>
      </c>
      <c r="Y1" s="25" t="s">
        <v>228</v>
      </c>
      <c r="Z1" s="31" t="s">
        <v>229</v>
      </c>
      <c r="AA1" s="25" t="s">
        <v>230</v>
      </c>
      <c r="AB1" s="25" t="s">
        <v>231</v>
      </c>
      <c r="AC1" s="25" t="s">
        <v>232</v>
      </c>
      <c r="AD1" s="25" t="s">
        <v>233</v>
      </c>
      <c r="AE1" s="25" t="s">
        <v>234</v>
      </c>
      <c r="AF1" s="25" t="s">
        <v>235</v>
      </c>
      <c r="AG1" s="25" t="s">
        <v>236</v>
      </c>
    </row>
    <row r="2" spans="1:33" x14ac:dyDescent="0.25">
      <c r="A2" t="s">
        <v>3</v>
      </c>
      <c r="B2">
        <v>9</v>
      </c>
      <c r="C2">
        <v>22</v>
      </c>
      <c r="D2">
        <v>17</v>
      </c>
      <c r="E2">
        <v>4</v>
      </c>
      <c r="F2">
        <v>10</v>
      </c>
      <c r="G2">
        <v>9</v>
      </c>
      <c r="H2">
        <v>7</v>
      </c>
      <c r="I2">
        <v>8</v>
      </c>
      <c r="J2" s="18"/>
      <c r="K2" s="7"/>
      <c r="L2" s="7"/>
      <c r="M2" s="7"/>
      <c r="N2" s="7"/>
      <c r="O2" s="7"/>
      <c r="P2" s="7"/>
      <c r="Q2" s="7"/>
      <c r="R2" s="14">
        <v>30</v>
      </c>
      <c r="S2">
        <v>30</v>
      </c>
      <c r="T2">
        <v>10</v>
      </c>
      <c r="U2">
        <v>34</v>
      </c>
      <c r="V2">
        <v>31</v>
      </c>
      <c r="W2">
        <v>24</v>
      </c>
      <c r="X2">
        <v>30</v>
      </c>
      <c r="Y2">
        <v>9</v>
      </c>
      <c r="Z2" s="14">
        <v>31</v>
      </c>
      <c r="AA2">
        <v>37</v>
      </c>
      <c r="AB2">
        <v>31</v>
      </c>
      <c r="AC2">
        <v>28</v>
      </c>
      <c r="AD2">
        <v>26</v>
      </c>
      <c r="AE2">
        <v>28</v>
      </c>
      <c r="AF2">
        <v>21</v>
      </c>
      <c r="AG2">
        <v>28</v>
      </c>
    </row>
    <row r="3" spans="1:33" x14ac:dyDescent="0.25">
      <c r="A3" t="s">
        <v>13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 s="18"/>
      <c r="K3" s="7"/>
      <c r="L3" s="7"/>
      <c r="M3" s="7"/>
      <c r="N3" s="7"/>
      <c r="O3" s="7"/>
      <c r="P3" s="7"/>
      <c r="Q3" s="7"/>
      <c r="R3" s="14">
        <v>0</v>
      </c>
      <c r="S3">
        <v>10</v>
      </c>
      <c r="T3">
        <v>0</v>
      </c>
      <c r="U3">
        <v>9</v>
      </c>
      <c r="V3">
        <v>0</v>
      </c>
      <c r="W3">
        <v>0</v>
      </c>
      <c r="X3">
        <v>9</v>
      </c>
      <c r="Y3">
        <v>5</v>
      </c>
      <c r="Z3" s="14">
        <v>3</v>
      </c>
      <c r="AA3">
        <v>20</v>
      </c>
      <c r="AB3">
        <v>18</v>
      </c>
      <c r="AC3">
        <v>4</v>
      </c>
      <c r="AD3">
        <v>14</v>
      </c>
      <c r="AE3">
        <v>51</v>
      </c>
      <c r="AF3">
        <v>42</v>
      </c>
      <c r="AG3">
        <v>3</v>
      </c>
    </row>
    <row r="4" spans="1:33" x14ac:dyDescent="0.25">
      <c r="A4" t="s">
        <v>68</v>
      </c>
      <c r="B4">
        <v>20</v>
      </c>
      <c r="C4">
        <v>10</v>
      </c>
      <c r="D4">
        <v>21</v>
      </c>
      <c r="E4">
        <v>9</v>
      </c>
      <c r="F4">
        <v>13</v>
      </c>
      <c r="G4">
        <v>9</v>
      </c>
      <c r="H4">
        <v>9</v>
      </c>
      <c r="I4">
        <v>11</v>
      </c>
      <c r="J4" s="18"/>
      <c r="K4" s="7"/>
      <c r="L4" s="7"/>
      <c r="M4" s="7"/>
      <c r="N4" s="7"/>
      <c r="O4" s="7"/>
      <c r="P4" s="7"/>
      <c r="Q4" s="7"/>
      <c r="R4" s="14">
        <v>54</v>
      </c>
      <c r="S4">
        <v>24</v>
      </c>
      <c r="T4">
        <v>17</v>
      </c>
      <c r="U4">
        <v>24</v>
      </c>
      <c r="V4">
        <v>19</v>
      </c>
      <c r="W4">
        <v>6</v>
      </c>
      <c r="X4">
        <v>11</v>
      </c>
      <c r="Y4">
        <v>30</v>
      </c>
      <c r="Z4" s="14">
        <v>55</v>
      </c>
      <c r="AA4">
        <v>12</v>
      </c>
      <c r="AB4">
        <v>37</v>
      </c>
      <c r="AC4">
        <v>14</v>
      </c>
      <c r="AD4">
        <v>23</v>
      </c>
      <c r="AE4">
        <v>6</v>
      </c>
      <c r="AF4">
        <v>41</v>
      </c>
      <c r="AG4">
        <v>7</v>
      </c>
    </row>
    <row r="5" spans="1:33" x14ac:dyDescent="0.25">
      <c r="A5" t="s">
        <v>69</v>
      </c>
      <c r="B5">
        <v>48</v>
      </c>
      <c r="C5">
        <v>56</v>
      </c>
      <c r="D5">
        <v>32</v>
      </c>
      <c r="E5">
        <v>45</v>
      </c>
      <c r="F5">
        <v>39</v>
      </c>
      <c r="G5">
        <v>30</v>
      </c>
      <c r="H5">
        <v>39</v>
      </c>
      <c r="I5">
        <v>17</v>
      </c>
      <c r="J5" s="14">
        <v>18</v>
      </c>
      <c r="K5">
        <v>12</v>
      </c>
      <c r="L5">
        <v>15</v>
      </c>
      <c r="M5">
        <v>7</v>
      </c>
      <c r="N5">
        <v>17</v>
      </c>
      <c r="O5">
        <v>4</v>
      </c>
      <c r="P5">
        <v>6</v>
      </c>
      <c r="Q5">
        <v>3</v>
      </c>
      <c r="R5" s="14">
        <v>65</v>
      </c>
      <c r="S5">
        <v>77</v>
      </c>
      <c r="T5">
        <v>72</v>
      </c>
      <c r="U5">
        <v>58</v>
      </c>
      <c r="V5">
        <v>64</v>
      </c>
      <c r="W5">
        <v>67</v>
      </c>
      <c r="X5">
        <v>69</v>
      </c>
      <c r="Y5">
        <v>59</v>
      </c>
      <c r="Z5" s="14">
        <v>71</v>
      </c>
      <c r="AA5">
        <v>45</v>
      </c>
      <c r="AB5">
        <v>65</v>
      </c>
      <c r="AC5">
        <v>56</v>
      </c>
      <c r="AD5">
        <v>74</v>
      </c>
      <c r="AE5">
        <v>69</v>
      </c>
      <c r="AF5">
        <v>78</v>
      </c>
      <c r="AG5">
        <v>58</v>
      </c>
    </row>
    <row r="6" spans="1:33" x14ac:dyDescent="0.25">
      <c r="A6" t="s">
        <v>70</v>
      </c>
      <c r="B6">
        <v>11</v>
      </c>
      <c r="C6">
        <v>5</v>
      </c>
      <c r="D6">
        <v>2</v>
      </c>
      <c r="E6">
        <v>3</v>
      </c>
      <c r="F6">
        <v>9</v>
      </c>
      <c r="G6">
        <v>1</v>
      </c>
      <c r="H6">
        <v>4</v>
      </c>
      <c r="I6">
        <v>3</v>
      </c>
      <c r="J6" s="14">
        <v>4</v>
      </c>
      <c r="K6">
        <v>3</v>
      </c>
      <c r="L6">
        <v>3</v>
      </c>
      <c r="M6">
        <v>10</v>
      </c>
      <c r="N6">
        <v>3</v>
      </c>
      <c r="O6">
        <v>3</v>
      </c>
      <c r="P6">
        <v>2</v>
      </c>
      <c r="Q6">
        <v>2</v>
      </c>
      <c r="R6" s="14">
        <v>58</v>
      </c>
      <c r="S6">
        <v>27</v>
      </c>
      <c r="T6">
        <v>25</v>
      </c>
      <c r="U6">
        <v>68</v>
      </c>
      <c r="V6">
        <v>65</v>
      </c>
      <c r="W6">
        <v>67</v>
      </c>
      <c r="X6">
        <v>68</v>
      </c>
      <c r="Y6">
        <v>35</v>
      </c>
      <c r="Z6" s="14">
        <v>59</v>
      </c>
      <c r="AA6">
        <v>53</v>
      </c>
      <c r="AB6">
        <v>33</v>
      </c>
      <c r="AC6">
        <v>78</v>
      </c>
      <c r="AD6">
        <v>64</v>
      </c>
      <c r="AE6">
        <v>63</v>
      </c>
      <c r="AF6">
        <v>65</v>
      </c>
      <c r="AG6">
        <v>58</v>
      </c>
    </row>
    <row r="7" spans="1:33" x14ac:dyDescent="0.25">
      <c r="A7" t="s">
        <v>74</v>
      </c>
      <c r="B7">
        <v>27</v>
      </c>
      <c r="C7">
        <v>29</v>
      </c>
      <c r="D7">
        <v>63</v>
      </c>
      <c r="E7">
        <v>57</v>
      </c>
      <c r="F7">
        <v>59</v>
      </c>
      <c r="G7">
        <v>69</v>
      </c>
      <c r="H7">
        <v>55</v>
      </c>
      <c r="I7">
        <v>68</v>
      </c>
      <c r="J7" s="14">
        <v>33</v>
      </c>
      <c r="K7">
        <v>43</v>
      </c>
      <c r="L7">
        <v>47</v>
      </c>
      <c r="M7">
        <v>53</v>
      </c>
      <c r="N7">
        <v>57</v>
      </c>
      <c r="O7">
        <v>60</v>
      </c>
      <c r="P7">
        <v>41</v>
      </c>
      <c r="Q7">
        <v>54</v>
      </c>
      <c r="R7" s="14">
        <v>29</v>
      </c>
      <c r="S7">
        <v>64</v>
      </c>
      <c r="T7">
        <v>60</v>
      </c>
      <c r="U7">
        <v>60</v>
      </c>
      <c r="V7">
        <v>69</v>
      </c>
      <c r="W7">
        <v>69</v>
      </c>
      <c r="X7">
        <v>63</v>
      </c>
      <c r="Y7">
        <v>76</v>
      </c>
      <c r="Z7" s="14">
        <v>39</v>
      </c>
      <c r="AA7">
        <v>62</v>
      </c>
      <c r="AB7">
        <v>59</v>
      </c>
      <c r="AC7">
        <v>75</v>
      </c>
      <c r="AD7">
        <v>68</v>
      </c>
      <c r="AE7">
        <v>60</v>
      </c>
      <c r="AF7">
        <v>69</v>
      </c>
      <c r="AG7">
        <v>71</v>
      </c>
    </row>
    <row r="8" spans="1:33" x14ac:dyDescent="0.25">
      <c r="A8" t="s">
        <v>79</v>
      </c>
      <c r="B8">
        <v>31</v>
      </c>
      <c r="C8">
        <v>21</v>
      </c>
      <c r="D8">
        <v>11</v>
      </c>
      <c r="E8">
        <v>26</v>
      </c>
      <c r="F8">
        <v>48</v>
      </c>
      <c r="G8">
        <v>20</v>
      </c>
      <c r="H8">
        <v>28</v>
      </c>
      <c r="I8">
        <v>25</v>
      </c>
      <c r="J8" s="14">
        <v>9</v>
      </c>
      <c r="K8">
        <v>6</v>
      </c>
      <c r="L8">
        <v>6</v>
      </c>
      <c r="M8">
        <v>8</v>
      </c>
      <c r="N8">
        <v>11</v>
      </c>
      <c r="O8">
        <v>12</v>
      </c>
      <c r="P8">
        <v>21</v>
      </c>
      <c r="Q8">
        <v>12</v>
      </c>
      <c r="R8" s="14">
        <v>62</v>
      </c>
      <c r="S8">
        <v>21</v>
      </c>
      <c r="T8">
        <v>75</v>
      </c>
      <c r="U8">
        <v>49</v>
      </c>
      <c r="V8">
        <v>50</v>
      </c>
      <c r="W8">
        <v>33</v>
      </c>
      <c r="X8">
        <v>50</v>
      </c>
      <c r="Y8">
        <v>30</v>
      </c>
      <c r="Z8" s="14">
        <v>61</v>
      </c>
      <c r="AA8">
        <v>54</v>
      </c>
      <c r="AB8">
        <v>65</v>
      </c>
      <c r="AC8">
        <v>43</v>
      </c>
      <c r="AD8">
        <v>50</v>
      </c>
      <c r="AE8">
        <v>44</v>
      </c>
      <c r="AF8">
        <v>75</v>
      </c>
      <c r="AG8">
        <v>34</v>
      </c>
    </row>
    <row r="9" spans="1:33" x14ac:dyDescent="0.25">
      <c r="A9" t="s">
        <v>80</v>
      </c>
      <c r="B9">
        <v>46</v>
      </c>
      <c r="C9">
        <v>22</v>
      </c>
      <c r="D9">
        <v>1</v>
      </c>
      <c r="E9">
        <v>16</v>
      </c>
      <c r="F9">
        <v>18</v>
      </c>
      <c r="G9">
        <v>6</v>
      </c>
      <c r="H9">
        <v>53</v>
      </c>
      <c r="I9">
        <v>47</v>
      </c>
      <c r="J9" s="14">
        <v>10</v>
      </c>
      <c r="K9">
        <v>1</v>
      </c>
      <c r="L9">
        <v>1</v>
      </c>
      <c r="M9">
        <v>23</v>
      </c>
      <c r="N9">
        <v>34</v>
      </c>
      <c r="O9">
        <v>24</v>
      </c>
      <c r="P9">
        <v>21</v>
      </c>
      <c r="Q9">
        <v>25</v>
      </c>
      <c r="R9" s="14">
        <v>27</v>
      </c>
      <c r="S9">
        <v>46</v>
      </c>
      <c r="T9">
        <v>45</v>
      </c>
      <c r="U9" s="7"/>
      <c r="V9">
        <v>34</v>
      </c>
      <c r="W9">
        <v>69</v>
      </c>
      <c r="X9">
        <v>64</v>
      </c>
      <c r="Y9">
        <v>60</v>
      </c>
      <c r="Z9" s="14">
        <v>62</v>
      </c>
      <c r="AA9">
        <v>8</v>
      </c>
      <c r="AB9">
        <v>49</v>
      </c>
      <c r="AC9">
        <v>58</v>
      </c>
      <c r="AD9">
        <v>50</v>
      </c>
      <c r="AE9">
        <v>54</v>
      </c>
      <c r="AF9">
        <v>54</v>
      </c>
      <c r="AG9">
        <v>51</v>
      </c>
    </row>
    <row r="10" spans="1:33" x14ac:dyDescent="0.25">
      <c r="A10" t="s">
        <v>86</v>
      </c>
      <c r="B10">
        <v>49</v>
      </c>
      <c r="C10">
        <v>14</v>
      </c>
      <c r="D10">
        <v>14</v>
      </c>
      <c r="E10">
        <v>29</v>
      </c>
      <c r="F10">
        <v>12</v>
      </c>
      <c r="G10">
        <v>11</v>
      </c>
      <c r="H10">
        <v>11</v>
      </c>
      <c r="I10">
        <v>9</v>
      </c>
      <c r="J10" s="14">
        <v>8</v>
      </c>
      <c r="K10">
        <v>3</v>
      </c>
      <c r="L10">
        <v>30</v>
      </c>
      <c r="M10">
        <v>14</v>
      </c>
      <c r="N10">
        <v>4</v>
      </c>
      <c r="O10">
        <v>6</v>
      </c>
      <c r="P10">
        <v>11</v>
      </c>
      <c r="Q10">
        <v>7</v>
      </c>
      <c r="R10" s="14">
        <v>22</v>
      </c>
      <c r="S10">
        <v>48</v>
      </c>
      <c r="T10">
        <v>68</v>
      </c>
      <c r="U10">
        <v>20</v>
      </c>
      <c r="V10">
        <v>16</v>
      </c>
      <c r="W10">
        <v>8</v>
      </c>
      <c r="X10">
        <v>7</v>
      </c>
      <c r="Y10">
        <v>7</v>
      </c>
      <c r="Z10" s="14">
        <v>36</v>
      </c>
      <c r="AA10">
        <v>59</v>
      </c>
      <c r="AB10">
        <v>56</v>
      </c>
      <c r="AC10">
        <v>24</v>
      </c>
      <c r="AD10">
        <v>10</v>
      </c>
      <c r="AE10">
        <v>30</v>
      </c>
      <c r="AF10">
        <v>34</v>
      </c>
      <c r="AG10">
        <v>20</v>
      </c>
    </row>
    <row r="11" spans="1:33" x14ac:dyDescent="0.25">
      <c r="A11" t="s">
        <v>92</v>
      </c>
      <c r="B11">
        <v>14</v>
      </c>
      <c r="C11">
        <v>5</v>
      </c>
      <c r="D11">
        <v>4</v>
      </c>
      <c r="E11">
        <v>5</v>
      </c>
      <c r="F11">
        <v>2</v>
      </c>
      <c r="G11">
        <v>2</v>
      </c>
      <c r="H11">
        <v>2</v>
      </c>
      <c r="I11">
        <v>0</v>
      </c>
      <c r="J11" s="14">
        <v>11</v>
      </c>
      <c r="K11">
        <v>22</v>
      </c>
      <c r="L11">
        <v>5</v>
      </c>
      <c r="M11">
        <v>12</v>
      </c>
      <c r="N11">
        <v>19</v>
      </c>
      <c r="O11">
        <v>3</v>
      </c>
      <c r="P11">
        <v>1</v>
      </c>
      <c r="Q11">
        <v>6</v>
      </c>
      <c r="R11" s="14">
        <v>24</v>
      </c>
      <c r="S11">
        <v>66</v>
      </c>
      <c r="T11">
        <v>32</v>
      </c>
      <c r="U11">
        <v>15</v>
      </c>
      <c r="V11">
        <v>25</v>
      </c>
      <c r="W11">
        <v>19</v>
      </c>
      <c r="X11">
        <v>29</v>
      </c>
      <c r="Y11">
        <v>5</v>
      </c>
      <c r="Z11" s="14">
        <v>22</v>
      </c>
      <c r="AA11">
        <v>33</v>
      </c>
      <c r="AB11">
        <v>7</v>
      </c>
      <c r="AC11">
        <v>8</v>
      </c>
      <c r="AD11">
        <v>2</v>
      </c>
      <c r="AE11">
        <v>9</v>
      </c>
      <c r="AF11">
        <v>12</v>
      </c>
      <c r="AG11">
        <v>9</v>
      </c>
    </row>
    <row r="12" spans="1:33" x14ac:dyDescent="0.25">
      <c r="A12" t="s">
        <v>93</v>
      </c>
      <c r="B12">
        <v>24</v>
      </c>
      <c r="C12">
        <v>46</v>
      </c>
      <c r="D12">
        <v>30</v>
      </c>
      <c r="E12">
        <v>17</v>
      </c>
      <c r="F12">
        <v>70</v>
      </c>
      <c r="G12">
        <v>42</v>
      </c>
      <c r="H12">
        <v>70</v>
      </c>
      <c r="I12">
        <v>37</v>
      </c>
      <c r="J12" s="14">
        <v>58</v>
      </c>
      <c r="K12">
        <v>68</v>
      </c>
      <c r="L12">
        <v>53</v>
      </c>
      <c r="M12">
        <v>60</v>
      </c>
      <c r="N12">
        <v>73</v>
      </c>
      <c r="O12">
        <v>59</v>
      </c>
      <c r="P12">
        <v>68</v>
      </c>
      <c r="Q12">
        <v>66</v>
      </c>
      <c r="R12" s="14">
        <v>27</v>
      </c>
      <c r="S12">
        <v>41</v>
      </c>
      <c r="T12">
        <v>69</v>
      </c>
      <c r="U12">
        <v>65</v>
      </c>
      <c r="V12">
        <v>59</v>
      </c>
      <c r="W12">
        <v>66</v>
      </c>
      <c r="X12">
        <v>53</v>
      </c>
      <c r="Y12">
        <v>68</v>
      </c>
      <c r="Z12" s="14">
        <v>55</v>
      </c>
      <c r="AA12">
        <v>60</v>
      </c>
      <c r="AB12">
        <v>43</v>
      </c>
      <c r="AC12">
        <v>58</v>
      </c>
      <c r="AD12">
        <v>67</v>
      </c>
      <c r="AE12">
        <v>65</v>
      </c>
      <c r="AF12">
        <v>59</v>
      </c>
      <c r="AG12">
        <v>58</v>
      </c>
    </row>
    <row r="13" spans="1:33" x14ac:dyDescent="0.25">
      <c r="A13" t="s">
        <v>110</v>
      </c>
      <c r="B13">
        <v>8</v>
      </c>
      <c r="C13">
        <v>57</v>
      </c>
      <c r="D13">
        <v>20</v>
      </c>
      <c r="E13">
        <v>85</v>
      </c>
      <c r="F13">
        <v>80</v>
      </c>
      <c r="G13">
        <v>64</v>
      </c>
      <c r="H13">
        <v>72</v>
      </c>
      <c r="I13">
        <v>77</v>
      </c>
      <c r="J13" s="14">
        <v>1</v>
      </c>
      <c r="K13">
        <v>10</v>
      </c>
      <c r="L13">
        <v>0</v>
      </c>
      <c r="M13">
        <v>0</v>
      </c>
      <c r="N13">
        <v>0</v>
      </c>
      <c r="O13">
        <v>9</v>
      </c>
      <c r="P13">
        <v>45</v>
      </c>
      <c r="Q13">
        <v>42</v>
      </c>
      <c r="R13" s="14">
        <v>42</v>
      </c>
      <c r="S13">
        <v>46</v>
      </c>
      <c r="T13">
        <v>81</v>
      </c>
      <c r="U13">
        <v>61</v>
      </c>
      <c r="V13">
        <v>75</v>
      </c>
      <c r="W13">
        <v>89</v>
      </c>
      <c r="X13">
        <v>81</v>
      </c>
      <c r="Y13">
        <v>96</v>
      </c>
      <c r="Z13" s="14">
        <v>68</v>
      </c>
      <c r="AA13">
        <v>66</v>
      </c>
      <c r="AB13">
        <v>81</v>
      </c>
      <c r="AC13">
        <v>80</v>
      </c>
      <c r="AD13">
        <v>93</v>
      </c>
      <c r="AE13">
        <v>99</v>
      </c>
      <c r="AF13">
        <v>80</v>
      </c>
      <c r="AG13">
        <v>84</v>
      </c>
    </row>
    <row r="14" spans="1:33" x14ac:dyDescent="0.25">
      <c r="A14" t="s">
        <v>120</v>
      </c>
      <c r="B14">
        <v>18</v>
      </c>
      <c r="C14">
        <v>12</v>
      </c>
      <c r="D14">
        <v>6</v>
      </c>
      <c r="E14">
        <v>3</v>
      </c>
      <c r="F14">
        <v>15</v>
      </c>
      <c r="G14">
        <v>10</v>
      </c>
      <c r="H14">
        <v>8</v>
      </c>
      <c r="I14">
        <v>15</v>
      </c>
      <c r="J14" s="14">
        <v>3</v>
      </c>
      <c r="K14">
        <v>9</v>
      </c>
      <c r="L14">
        <v>3</v>
      </c>
      <c r="M14">
        <v>6</v>
      </c>
      <c r="N14">
        <v>8</v>
      </c>
      <c r="O14">
        <v>7</v>
      </c>
      <c r="P14">
        <v>3</v>
      </c>
      <c r="Q14">
        <v>8</v>
      </c>
      <c r="R14" s="14">
        <v>16</v>
      </c>
      <c r="S14">
        <v>16</v>
      </c>
      <c r="T14">
        <v>18</v>
      </c>
      <c r="U14">
        <v>25</v>
      </c>
      <c r="V14">
        <v>24</v>
      </c>
      <c r="W14">
        <v>11</v>
      </c>
      <c r="X14">
        <v>16</v>
      </c>
      <c r="Y14">
        <v>30</v>
      </c>
      <c r="Z14" s="14">
        <v>14</v>
      </c>
      <c r="AA14">
        <v>23</v>
      </c>
      <c r="AB14">
        <v>13</v>
      </c>
      <c r="AC14">
        <v>24</v>
      </c>
      <c r="AD14">
        <v>25</v>
      </c>
      <c r="AE14">
        <v>21</v>
      </c>
      <c r="AF14">
        <v>30</v>
      </c>
      <c r="AG14">
        <v>8</v>
      </c>
    </row>
    <row r="15" spans="1:33" s="4" customFormat="1" x14ac:dyDescent="0.25">
      <c r="A15" s="4" t="s">
        <v>125</v>
      </c>
      <c r="B15" s="4">
        <v>42</v>
      </c>
      <c r="C15" s="4">
        <v>37</v>
      </c>
      <c r="D15" s="4">
        <v>45</v>
      </c>
      <c r="E15" s="4">
        <v>40</v>
      </c>
      <c r="F15" s="4">
        <v>41</v>
      </c>
      <c r="G15" s="4">
        <v>39</v>
      </c>
      <c r="H15" s="4">
        <v>35</v>
      </c>
      <c r="I15" s="4">
        <v>51</v>
      </c>
      <c r="J15" s="16">
        <v>42</v>
      </c>
      <c r="K15" s="4">
        <v>56</v>
      </c>
      <c r="L15" s="4">
        <v>42</v>
      </c>
      <c r="M15" s="4">
        <v>35</v>
      </c>
      <c r="N15" s="4">
        <v>29</v>
      </c>
      <c r="O15" s="4">
        <v>34</v>
      </c>
      <c r="P15" s="4">
        <v>25</v>
      </c>
      <c r="Q15" s="4">
        <v>37</v>
      </c>
      <c r="R15" s="16">
        <v>72</v>
      </c>
      <c r="S15" s="4">
        <v>61</v>
      </c>
      <c r="T15" s="4">
        <v>71</v>
      </c>
      <c r="U15" s="4">
        <v>46</v>
      </c>
      <c r="V15" s="4">
        <v>20</v>
      </c>
      <c r="W15" s="4">
        <v>69</v>
      </c>
      <c r="X15" s="4">
        <v>58</v>
      </c>
      <c r="Y15" s="4">
        <v>62</v>
      </c>
      <c r="Z15" s="16">
        <v>71</v>
      </c>
      <c r="AA15" s="4">
        <v>41</v>
      </c>
      <c r="AB15" s="4">
        <v>73</v>
      </c>
      <c r="AC15" s="4">
        <v>66</v>
      </c>
      <c r="AD15" s="4">
        <v>56</v>
      </c>
      <c r="AE15" s="4">
        <v>65</v>
      </c>
      <c r="AF15" s="4">
        <v>50</v>
      </c>
      <c r="AG15" s="4">
        <v>66</v>
      </c>
    </row>
    <row r="16" spans="1:33" x14ac:dyDescent="0.25">
      <c r="A16" t="s">
        <v>130</v>
      </c>
      <c r="B16">
        <v>6</v>
      </c>
      <c r="C16">
        <v>4</v>
      </c>
      <c r="D16">
        <v>18</v>
      </c>
      <c r="E16">
        <v>8</v>
      </c>
      <c r="F16">
        <v>30</v>
      </c>
      <c r="G16">
        <v>20</v>
      </c>
      <c r="H16">
        <v>27</v>
      </c>
      <c r="I16">
        <v>18</v>
      </c>
      <c r="J16" s="14">
        <v>1</v>
      </c>
      <c r="K16">
        <v>3</v>
      </c>
      <c r="L16">
        <v>50</v>
      </c>
      <c r="M16">
        <v>15</v>
      </c>
      <c r="N16">
        <v>25</v>
      </c>
      <c r="O16">
        <v>11</v>
      </c>
      <c r="P16">
        <v>16</v>
      </c>
      <c r="Q16">
        <v>18</v>
      </c>
      <c r="R16" s="14">
        <v>38</v>
      </c>
      <c r="S16">
        <v>10</v>
      </c>
      <c r="T16">
        <v>38</v>
      </c>
      <c r="U16">
        <v>44</v>
      </c>
      <c r="V16">
        <v>41</v>
      </c>
      <c r="W16">
        <v>33</v>
      </c>
      <c r="X16">
        <v>14</v>
      </c>
      <c r="Y16">
        <v>23</v>
      </c>
      <c r="Z16" s="14">
        <v>68</v>
      </c>
      <c r="AA16">
        <v>62</v>
      </c>
      <c r="AB16">
        <v>47</v>
      </c>
      <c r="AC16">
        <v>46</v>
      </c>
      <c r="AD16">
        <v>34</v>
      </c>
      <c r="AE16">
        <v>19</v>
      </c>
      <c r="AF16">
        <v>25</v>
      </c>
      <c r="AG16">
        <v>33</v>
      </c>
    </row>
    <row r="17" spans="1:33" x14ac:dyDescent="0.25">
      <c r="A17" t="s">
        <v>145</v>
      </c>
      <c r="B17">
        <v>6</v>
      </c>
      <c r="C17">
        <v>41</v>
      </c>
      <c r="D17" s="7"/>
      <c r="E17">
        <v>28</v>
      </c>
      <c r="F17">
        <v>56</v>
      </c>
      <c r="G17">
        <v>18</v>
      </c>
      <c r="H17">
        <v>67</v>
      </c>
      <c r="I17">
        <v>40</v>
      </c>
      <c r="J17" s="14">
        <v>4</v>
      </c>
      <c r="K17">
        <v>28</v>
      </c>
      <c r="L17" s="7"/>
      <c r="M17">
        <v>32</v>
      </c>
      <c r="N17">
        <v>39</v>
      </c>
      <c r="O17">
        <v>21</v>
      </c>
      <c r="P17">
        <v>68</v>
      </c>
      <c r="Q17" s="7"/>
      <c r="R17" s="14">
        <v>42</v>
      </c>
      <c r="S17">
        <v>54</v>
      </c>
      <c r="T17">
        <v>33</v>
      </c>
      <c r="U17">
        <v>53</v>
      </c>
      <c r="V17">
        <v>71</v>
      </c>
      <c r="W17">
        <v>69</v>
      </c>
      <c r="X17">
        <v>72</v>
      </c>
      <c r="Y17" s="7"/>
      <c r="Z17" s="14">
        <v>78</v>
      </c>
      <c r="AA17">
        <v>79</v>
      </c>
      <c r="AB17">
        <v>67</v>
      </c>
      <c r="AC17">
        <v>67</v>
      </c>
      <c r="AD17">
        <v>44</v>
      </c>
      <c r="AE17">
        <v>68</v>
      </c>
      <c r="AF17">
        <v>77</v>
      </c>
      <c r="AG17" s="7"/>
    </row>
    <row r="18" spans="1:33" x14ac:dyDescent="0.25">
      <c r="A18" t="s">
        <v>144</v>
      </c>
      <c r="B18">
        <v>18</v>
      </c>
      <c r="C18">
        <v>33</v>
      </c>
      <c r="D18">
        <v>17</v>
      </c>
      <c r="E18">
        <v>15</v>
      </c>
      <c r="F18">
        <v>35</v>
      </c>
      <c r="G18">
        <v>62</v>
      </c>
      <c r="H18">
        <v>58</v>
      </c>
      <c r="I18">
        <v>48</v>
      </c>
      <c r="J18" s="14">
        <v>36</v>
      </c>
      <c r="K18">
        <v>45</v>
      </c>
      <c r="L18">
        <v>37</v>
      </c>
      <c r="M18">
        <v>28</v>
      </c>
      <c r="N18">
        <v>57</v>
      </c>
      <c r="O18">
        <v>32</v>
      </c>
      <c r="P18">
        <v>75</v>
      </c>
      <c r="Q18">
        <v>46</v>
      </c>
      <c r="R18" s="14">
        <v>56</v>
      </c>
      <c r="S18">
        <v>61</v>
      </c>
      <c r="T18">
        <v>68</v>
      </c>
      <c r="U18">
        <v>41</v>
      </c>
      <c r="V18">
        <v>46</v>
      </c>
      <c r="W18">
        <v>61</v>
      </c>
      <c r="X18">
        <v>74</v>
      </c>
      <c r="Y18">
        <v>48</v>
      </c>
      <c r="Z18" s="14">
        <v>72</v>
      </c>
      <c r="AA18">
        <v>62</v>
      </c>
      <c r="AB18">
        <v>78</v>
      </c>
      <c r="AC18">
        <v>64</v>
      </c>
      <c r="AD18">
        <v>55</v>
      </c>
      <c r="AE18">
        <v>68</v>
      </c>
      <c r="AF18">
        <v>60</v>
      </c>
      <c r="AG18">
        <v>64</v>
      </c>
    </row>
    <row r="19" spans="1:33" x14ac:dyDescent="0.25">
      <c r="A19" t="s">
        <v>132</v>
      </c>
      <c r="B19">
        <v>48</v>
      </c>
      <c r="C19">
        <v>64</v>
      </c>
      <c r="D19">
        <v>55</v>
      </c>
      <c r="E19">
        <v>78</v>
      </c>
      <c r="F19">
        <v>52</v>
      </c>
      <c r="G19">
        <v>67</v>
      </c>
      <c r="H19">
        <v>54</v>
      </c>
      <c r="I19">
        <v>54</v>
      </c>
      <c r="J19" s="14">
        <v>31</v>
      </c>
      <c r="K19">
        <v>43</v>
      </c>
      <c r="L19">
        <v>40</v>
      </c>
      <c r="M19">
        <v>67</v>
      </c>
      <c r="N19">
        <v>48</v>
      </c>
      <c r="O19">
        <v>59</v>
      </c>
      <c r="P19">
        <v>33</v>
      </c>
      <c r="Q19">
        <v>57</v>
      </c>
      <c r="R19" s="14">
        <v>34</v>
      </c>
      <c r="S19">
        <v>56</v>
      </c>
      <c r="T19">
        <v>34</v>
      </c>
      <c r="U19">
        <v>65</v>
      </c>
      <c r="V19">
        <v>70</v>
      </c>
      <c r="W19">
        <v>65</v>
      </c>
      <c r="X19">
        <v>50</v>
      </c>
      <c r="Y19">
        <v>63</v>
      </c>
      <c r="Z19" s="14">
        <v>77</v>
      </c>
      <c r="AA19">
        <v>67</v>
      </c>
      <c r="AB19">
        <v>72</v>
      </c>
      <c r="AC19">
        <v>58</v>
      </c>
      <c r="AD19">
        <v>81</v>
      </c>
      <c r="AE19">
        <v>62</v>
      </c>
      <c r="AF19">
        <v>70</v>
      </c>
      <c r="AG19">
        <v>74</v>
      </c>
    </row>
    <row r="20" spans="1:33" x14ac:dyDescent="0.25">
      <c r="A20" t="s">
        <v>146</v>
      </c>
      <c r="B20">
        <v>5</v>
      </c>
      <c r="C20">
        <v>15</v>
      </c>
      <c r="D20">
        <v>19</v>
      </c>
      <c r="E20">
        <v>16</v>
      </c>
      <c r="F20">
        <v>3</v>
      </c>
      <c r="G20">
        <v>3</v>
      </c>
      <c r="H20">
        <v>7</v>
      </c>
      <c r="I20">
        <v>5</v>
      </c>
      <c r="J20" s="14">
        <v>0</v>
      </c>
      <c r="K20">
        <v>5</v>
      </c>
      <c r="L20">
        <v>5</v>
      </c>
      <c r="M20">
        <v>1</v>
      </c>
      <c r="N20">
        <v>1</v>
      </c>
      <c r="O20">
        <v>3</v>
      </c>
      <c r="P20">
        <v>2</v>
      </c>
      <c r="Q20">
        <v>3</v>
      </c>
      <c r="R20" s="14">
        <v>35</v>
      </c>
      <c r="S20">
        <v>25</v>
      </c>
      <c r="T20">
        <v>45</v>
      </c>
      <c r="U20">
        <v>44</v>
      </c>
      <c r="V20">
        <v>23</v>
      </c>
      <c r="W20">
        <v>17</v>
      </c>
      <c r="X20" s="7"/>
      <c r="Y20">
        <v>15</v>
      </c>
      <c r="Z20" s="14">
        <v>65</v>
      </c>
      <c r="AA20">
        <v>49</v>
      </c>
      <c r="AB20" s="5"/>
      <c r="AC20">
        <v>32</v>
      </c>
      <c r="AD20">
        <v>24</v>
      </c>
      <c r="AE20">
        <v>39</v>
      </c>
      <c r="AF20" s="7"/>
      <c r="AG20">
        <v>17</v>
      </c>
    </row>
    <row r="21" spans="1:33" x14ac:dyDescent="0.25">
      <c r="A21" t="s">
        <v>147</v>
      </c>
      <c r="B21">
        <v>17</v>
      </c>
      <c r="C21">
        <v>3</v>
      </c>
      <c r="D21">
        <v>30</v>
      </c>
      <c r="E21">
        <v>6</v>
      </c>
      <c r="F21">
        <v>9</v>
      </c>
      <c r="G21">
        <v>23</v>
      </c>
      <c r="H21">
        <v>10</v>
      </c>
      <c r="I21">
        <v>8</v>
      </c>
      <c r="J21" s="14">
        <v>10</v>
      </c>
      <c r="K21">
        <v>11</v>
      </c>
      <c r="L21" s="7"/>
      <c r="M21">
        <v>15</v>
      </c>
      <c r="N21">
        <v>10</v>
      </c>
      <c r="O21">
        <v>5</v>
      </c>
      <c r="P21">
        <v>7</v>
      </c>
      <c r="Q21">
        <v>1</v>
      </c>
      <c r="R21" s="14">
        <v>36</v>
      </c>
      <c r="S21">
        <v>24</v>
      </c>
      <c r="T21" s="7"/>
      <c r="U21">
        <v>4</v>
      </c>
      <c r="V21">
        <v>24</v>
      </c>
      <c r="W21">
        <v>68</v>
      </c>
      <c r="X21">
        <v>20</v>
      </c>
      <c r="Y21">
        <v>39</v>
      </c>
      <c r="Z21" s="14">
        <v>36</v>
      </c>
      <c r="AA21">
        <v>38</v>
      </c>
      <c r="AB21">
        <v>63</v>
      </c>
      <c r="AC21">
        <v>61</v>
      </c>
      <c r="AD21">
        <v>60</v>
      </c>
      <c r="AE21">
        <v>10</v>
      </c>
      <c r="AF21" s="7"/>
      <c r="AG21">
        <v>10</v>
      </c>
    </row>
    <row r="22" spans="1:33" x14ac:dyDescent="0.25">
      <c r="A22" t="s">
        <v>155</v>
      </c>
      <c r="B22">
        <v>0</v>
      </c>
      <c r="C22">
        <v>30</v>
      </c>
      <c r="D22">
        <v>12</v>
      </c>
      <c r="E22">
        <v>24</v>
      </c>
      <c r="F22">
        <v>1</v>
      </c>
      <c r="G22">
        <v>1</v>
      </c>
      <c r="H22">
        <v>14</v>
      </c>
      <c r="I22">
        <v>28</v>
      </c>
      <c r="J22" s="14">
        <v>33</v>
      </c>
      <c r="K22">
        <v>30</v>
      </c>
      <c r="L22">
        <v>5</v>
      </c>
      <c r="M22">
        <v>0</v>
      </c>
      <c r="N22">
        <v>2</v>
      </c>
      <c r="O22">
        <v>2</v>
      </c>
      <c r="P22">
        <v>0</v>
      </c>
      <c r="Q22">
        <v>1</v>
      </c>
      <c r="R22" s="14">
        <v>47</v>
      </c>
      <c r="S22">
        <v>30</v>
      </c>
      <c r="T22">
        <v>0</v>
      </c>
      <c r="U22">
        <v>22</v>
      </c>
      <c r="V22">
        <v>36</v>
      </c>
      <c r="W22">
        <v>2</v>
      </c>
      <c r="X22">
        <v>47</v>
      </c>
      <c r="Y22">
        <v>18</v>
      </c>
      <c r="Z22" s="14">
        <v>8</v>
      </c>
      <c r="AA22">
        <v>2</v>
      </c>
      <c r="AB22">
        <v>1</v>
      </c>
      <c r="AC22">
        <v>23</v>
      </c>
      <c r="AD22">
        <v>59</v>
      </c>
      <c r="AE22">
        <v>38</v>
      </c>
      <c r="AF22">
        <v>51</v>
      </c>
      <c r="AG22">
        <v>1</v>
      </c>
    </row>
    <row r="23" spans="1:33" x14ac:dyDescent="0.25">
      <c r="A23" t="s">
        <v>158</v>
      </c>
      <c r="B23">
        <v>57</v>
      </c>
      <c r="C23">
        <v>45</v>
      </c>
      <c r="D23">
        <v>24</v>
      </c>
      <c r="E23">
        <v>6</v>
      </c>
      <c r="F23">
        <v>65</v>
      </c>
      <c r="G23">
        <v>9</v>
      </c>
      <c r="H23">
        <v>71</v>
      </c>
      <c r="I23">
        <v>53</v>
      </c>
      <c r="J23" s="14">
        <v>9</v>
      </c>
      <c r="K23">
        <v>60</v>
      </c>
      <c r="L23" s="7"/>
      <c r="M23">
        <v>45</v>
      </c>
      <c r="N23">
        <v>66</v>
      </c>
      <c r="O23">
        <v>20</v>
      </c>
      <c r="P23">
        <v>64</v>
      </c>
      <c r="Q23">
        <v>6</v>
      </c>
      <c r="R23" s="14">
        <v>61</v>
      </c>
      <c r="S23">
        <v>87</v>
      </c>
      <c r="T23">
        <v>85</v>
      </c>
      <c r="U23">
        <v>86</v>
      </c>
      <c r="V23" s="7"/>
      <c r="W23">
        <v>86</v>
      </c>
      <c r="X23">
        <v>84</v>
      </c>
      <c r="Y23">
        <v>84</v>
      </c>
      <c r="Z23" s="18"/>
      <c r="AA23" s="7"/>
      <c r="AB23">
        <v>91</v>
      </c>
      <c r="AC23" s="7"/>
      <c r="AD23" s="7"/>
      <c r="AE23" s="7"/>
      <c r="AF23">
        <v>87</v>
      </c>
      <c r="AG23">
        <v>91</v>
      </c>
    </row>
    <row r="24" spans="1:33" x14ac:dyDescent="0.25">
      <c r="A24" t="s">
        <v>162</v>
      </c>
      <c r="B24">
        <v>21</v>
      </c>
      <c r="C24">
        <v>10</v>
      </c>
      <c r="D24">
        <v>13</v>
      </c>
      <c r="E24">
        <v>9</v>
      </c>
      <c r="F24">
        <v>10</v>
      </c>
      <c r="G24">
        <v>17</v>
      </c>
      <c r="H24">
        <v>14</v>
      </c>
      <c r="I24">
        <v>14</v>
      </c>
      <c r="J24" s="14">
        <v>33</v>
      </c>
      <c r="K24">
        <v>9</v>
      </c>
      <c r="L24">
        <v>10</v>
      </c>
      <c r="M24">
        <v>13</v>
      </c>
      <c r="N24">
        <v>9</v>
      </c>
      <c r="O24">
        <v>18</v>
      </c>
      <c r="P24">
        <v>7</v>
      </c>
      <c r="Q24">
        <v>11</v>
      </c>
      <c r="R24" s="14">
        <v>15</v>
      </c>
      <c r="S24">
        <v>11</v>
      </c>
      <c r="T24">
        <v>15</v>
      </c>
      <c r="U24">
        <v>10</v>
      </c>
      <c r="V24">
        <v>12</v>
      </c>
      <c r="W24">
        <v>12</v>
      </c>
      <c r="X24">
        <v>17</v>
      </c>
      <c r="Y24">
        <v>11</v>
      </c>
      <c r="Z24" s="14">
        <v>19</v>
      </c>
      <c r="AA24">
        <v>15</v>
      </c>
      <c r="AB24">
        <v>9</v>
      </c>
      <c r="AC24">
        <v>14</v>
      </c>
      <c r="AD24">
        <v>13</v>
      </c>
      <c r="AE24">
        <v>15</v>
      </c>
      <c r="AF24">
        <v>17</v>
      </c>
      <c r="AG24">
        <v>10</v>
      </c>
    </row>
    <row r="25" spans="1:33" x14ac:dyDescent="0.25">
      <c r="A25" t="s">
        <v>160</v>
      </c>
      <c r="B25">
        <v>24</v>
      </c>
      <c r="C25">
        <v>20</v>
      </c>
      <c r="D25">
        <v>19</v>
      </c>
      <c r="E25">
        <v>17</v>
      </c>
      <c r="F25">
        <v>6</v>
      </c>
      <c r="G25">
        <v>8</v>
      </c>
      <c r="H25">
        <v>12</v>
      </c>
      <c r="I25">
        <v>8</v>
      </c>
      <c r="J25" s="14">
        <v>28</v>
      </c>
      <c r="K25">
        <v>29</v>
      </c>
      <c r="L25">
        <v>18</v>
      </c>
      <c r="M25">
        <v>15</v>
      </c>
      <c r="N25">
        <v>21</v>
      </c>
      <c r="O25">
        <v>13</v>
      </c>
      <c r="P25">
        <v>8</v>
      </c>
      <c r="Q25">
        <v>10</v>
      </c>
      <c r="R25" s="14">
        <v>20</v>
      </c>
      <c r="S25">
        <v>45</v>
      </c>
      <c r="T25">
        <v>11</v>
      </c>
      <c r="U25">
        <v>36</v>
      </c>
      <c r="V25">
        <v>30</v>
      </c>
      <c r="W25">
        <v>26</v>
      </c>
      <c r="X25">
        <v>33</v>
      </c>
      <c r="Y25">
        <v>27</v>
      </c>
      <c r="Z25" s="14">
        <v>27</v>
      </c>
      <c r="AA25">
        <v>29</v>
      </c>
      <c r="AB25">
        <v>34</v>
      </c>
      <c r="AC25">
        <v>33</v>
      </c>
      <c r="AD25">
        <v>35</v>
      </c>
      <c r="AE25">
        <v>14</v>
      </c>
      <c r="AF25">
        <v>21</v>
      </c>
      <c r="AG25">
        <v>27</v>
      </c>
    </row>
    <row r="26" spans="1:33" x14ac:dyDescent="0.25">
      <c r="A26" t="s">
        <v>173</v>
      </c>
      <c r="B26">
        <v>22</v>
      </c>
      <c r="C26">
        <v>49</v>
      </c>
      <c r="D26">
        <v>57</v>
      </c>
      <c r="E26">
        <v>53</v>
      </c>
      <c r="F26">
        <v>54</v>
      </c>
      <c r="G26">
        <v>42</v>
      </c>
      <c r="H26">
        <v>62</v>
      </c>
      <c r="I26">
        <v>53</v>
      </c>
      <c r="J26" s="14">
        <v>19</v>
      </c>
      <c r="K26">
        <v>34</v>
      </c>
      <c r="L26">
        <v>49</v>
      </c>
      <c r="M26">
        <v>33</v>
      </c>
      <c r="N26">
        <v>46</v>
      </c>
      <c r="O26">
        <v>43</v>
      </c>
      <c r="P26">
        <v>38</v>
      </c>
      <c r="Q26">
        <v>50</v>
      </c>
      <c r="R26" s="14">
        <v>73</v>
      </c>
      <c r="S26">
        <v>58</v>
      </c>
      <c r="T26">
        <v>78</v>
      </c>
      <c r="U26">
        <v>79</v>
      </c>
      <c r="V26">
        <v>64</v>
      </c>
      <c r="W26">
        <v>74</v>
      </c>
      <c r="X26">
        <v>64</v>
      </c>
      <c r="Y26">
        <v>51</v>
      </c>
      <c r="Z26" s="14">
        <v>78</v>
      </c>
      <c r="AA26">
        <v>76</v>
      </c>
      <c r="AB26">
        <v>73</v>
      </c>
      <c r="AC26">
        <v>73</v>
      </c>
      <c r="AD26">
        <v>52</v>
      </c>
      <c r="AE26">
        <v>72</v>
      </c>
      <c r="AF26">
        <v>75</v>
      </c>
      <c r="AG26">
        <v>75</v>
      </c>
    </row>
    <row r="27" spans="1:33" x14ac:dyDescent="0.25">
      <c r="A27" t="s">
        <v>174</v>
      </c>
      <c r="B27">
        <v>4</v>
      </c>
      <c r="C27">
        <v>18</v>
      </c>
      <c r="D27">
        <v>9</v>
      </c>
      <c r="E27">
        <v>11</v>
      </c>
      <c r="F27">
        <v>12</v>
      </c>
      <c r="G27">
        <v>4</v>
      </c>
      <c r="H27">
        <v>21</v>
      </c>
      <c r="I27">
        <v>23</v>
      </c>
      <c r="J27" s="14">
        <v>5</v>
      </c>
      <c r="K27">
        <v>4</v>
      </c>
      <c r="L27">
        <v>6</v>
      </c>
      <c r="M27">
        <v>10</v>
      </c>
      <c r="N27">
        <v>6</v>
      </c>
      <c r="O27">
        <v>18</v>
      </c>
      <c r="P27">
        <v>5</v>
      </c>
      <c r="Q27">
        <v>17</v>
      </c>
      <c r="R27" s="14">
        <v>35</v>
      </c>
      <c r="S27">
        <v>58</v>
      </c>
      <c r="T27">
        <v>64</v>
      </c>
      <c r="U27">
        <v>64</v>
      </c>
      <c r="V27">
        <v>67</v>
      </c>
      <c r="W27">
        <v>71</v>
      </c>
      <c r="X27">
        <v>62</v>
      </c>
      <c r="Y27">
        <v>64</v>
      </c>
      <c r="Z27" s="14">
        <v>67</v>
      </c>
      <c r="AA27">
        <v>66</v>
      </c>
      <c r="AB27">
        <v>71</v>
      </c>
      <c r="AC27">
        <v>75</v>
      </c>
      <c r="AD27">
        <v>59</v>
      </c>
      <c r="AE27">
        <v>76</v>
      </c>
      <c r="AF27">
        <v>68</v>
      </c>
      <c r="AG27">
        <v>68</v>
      </c>
    </row>
    <row r="28" spans="1:33" x14ac:dyDescent="0.25">
      <c r="A28" t="s">
        <v>175</v>
      </c>
      <c r="B28">
        <v>73</v>
      </c>
      <c r="C28">
        <v>78</v>
      </c>
      <c r="D28">
        <v>66</v>
      </c>
      <c r="E28">
        <v>63</v>
      </c>
      <c r="F28">
        <v>72</v>
      </c>
      <c r="G28">
        <v>54</v>
      </c>
      <c r="H28">
        <v>80</v>
      </c>
      <c r="I28">
        <v>77</v>
      </c>
      <c r="J28" s="14">
        <v>60</v>
      </c>
      <c r="K28">
        <v>51</v>
      </c>
      <c r="L28">
        <v>65</v>
      </c>
      <c r="M28">
        <v>59</v>
      </c>
      <c r="N28">
        <v>71</v>
      </c>
      <c r="O28">
        <v>39</v>
      </c>
      <c r="P28">
        <v>55</v>
      </c>
      <c r="Q28">
        <v>64</v>
      </c>
      <c r="R28" s="14">
        <v>72</v>
      </c>
      <c r="S28">
        <v>78</v>
      </c>
      <c r="T28">
        <v>76</v>
      </c>
      <c r="U28">
        <v>79</v>
      </c>
      <c r="V28">
        <v>73</v>
      </c>
      <c r="W28">
        <v>63</v>
      </c>
      <c r="X28">
        <v>74</v>
      </c>
      <c r="Y28">
        <v>71</v>
      </c>
      <c r="Z28" s="14">
        <v>76</v>
      </c>
      <c r="AA28">
        <v>75</v>
      </c>
      <c r="AB28">
        <v>67</v>
      </c>
      <c r="AC28">
        <v>69</v>
      </c>
      <c r="AD28">
        <v>69</v>
      </c>
      <c r="AE28">
        <v>78</v>
      </c>
      <c r="AF28">
        <v>65</v>
      </c>
      <c r="AG28">
        <v>73</v>
      </c>
    </row>
    <row r="29" spans="1:33" x14ac:dyDescent="0.25">
      <c r="A29" t="s">
        <v>187</v>
      </c>
      <c r="B29">
        <v>22</v>
      </c>
      <c r="C29">
        <v>39</v>
      </c>
      <c r="D29">
        <v>31</v>
      </c>
      <c r="E29">
        <v>32</v>
      </c>
      <c r="F29">
        <v>35</v>
      </c>
      <c r="G29">
        <v>28</v>
      </c>
      <c r="H29">
        <v>41</v>
      </c>
      <c r="I29">
        <v>31</v>
      </c>
      <c r="J29" s="14">
        <v>25</v>
      </c>
      <c r="K29">
        <v>34</v>
      </c>
      <c r="L29">
        <v>38</v>
      </c>
      <c r="M29">
        <v>25</v>
      </c>
      <c r="N29">
        <v>18</v>
      </c>
      <c r="O29">
        <v>30</v>
      </c>
      <c r="P29">
        <v>24</v>
      </c>
      <c r="Q29">
        <v>23</v>
      </c>
      <c r="R29" s="14">
        <v>61</v>
      </c>
      <c r="S29">
        <v>31</v>
      </c>
      <c r="T29">
        <v>34</v>
      </c>
      <c r="U29">
        <v>44</v>
      </c>
      <c r="V29">
        <v>47</v>
      </c>
      <c r="W29">
        <v>25</v>
      </c>
      <c r="X29">
        <v>40</v>
      </c>
      <c r="Y29">
        <v>33</v>
      </c>
      <c r="Z29" s="14">
        <v>49</v>
      </c>
      <c r="AA29">
        <v>29</v>
      </c>
      <c r="AB29">
        <v>43</v>
      </c>
      <c r="AC29">
        <v>36</v>
      </c>
      <c r="AD29">
        <v>43</v>
      </c>
      <c r="AE29">
        <v>31</v>
      </c>
      <c r="AF29">
        <v>31</v>
      </c>
      <c r="AG29">
        <v>37</v>
      </c>
    </row>
    <row r="30" spans="1:33" x14ac:dyDescent="0.25">
      <c r="A30" t="s">
        <v>186</v>
      </c>
      <c r="B30">
        <v>16</v>
      </c>
      <c r="C30">
        <v>6</v>
      </c>
      <c r="D30">
        <v>3</v>
      </c>
      <c r="E30">
        <v>21</v>
      </c>
      <c r="F30">
        <v>2</v>
      </c>
      <c r="G30">
        <v>4</v>
      </c>
      <c r="H30">
        <v>2</v>
      </c>
      <c r="I30">
        <v>2</v>
      </c>
      <c r="J30" s="14">
        <v>6</v>
      </c>
      <c r="K30">
        <v>3</v>
      </c>
      <c r="L30">
        <v>3</v>
      </c>
      <c r="M30">
        <v>2</v>
      </c>
      <c r="N30">
        <v>9</v>
      </c>
      <c r="O30">
        <v>2</v>
      </c>
      <c r="P30">
        <v>14</v>
      </c>
      <c r="Q30">
        <v>27</v>
      </c>
      <c r="R30" s="14">
        <v>25</v>
      </c>
      <c r="S30">
        <v>53</v>
      </c>
      <c r="T30">
        <v>18</v>
      </c>
      <c r="U30">
        <v>30</v>
      </c>
      <c r="V30">
        <v>45</v>
      </c>
      <c r="W30">
        <v>34</v>
      </c>
      <c r="X30">
        <v>31</v>
      </c>
      <c r="Y30">
        <v>4</v>
      </c>
      <c r="Z30" s="14">
        <v>41</v>
      </c>
      <c r="AA30">
        <v>26</v>
      </c>
      <c r="AB30">
        <v>32</v>
      </c>
      <c r="AC30">
        <v>33</v>
      </c>
      <c r="AD30">
        <v>56</v>
      </c>
      <c r="AE30">
        <v>3</v>
      </c>
      <c r="AF30">
        <v>3</v>
      </c>
      <c r="AG30">
        <v>10</v>
      </c>
    </row>
    <row r="32" spans="1:33" s="25" customFormat="1" x14ac:dyDescent="0.25">
      <c r="A32" s="25" t="s">
        <v>1</v>
      </c>
      <c r="J32" s="31"/>
      <c r="R32" s="31"/>
      <c r="Z32" s="31"/>
    </row>
    <row r="33" spans="1:33" x14ac:dyDescent="0.25">
      <c r="A33" t="s">
        <v>3</v>
      </c>
      <c r="B33">
        <v>9</v>
      </c>
      <c r="C33">
        <v>17</v>
      </c>
      <c r="D33">
        <v>4</v>
      </c>
      <c r="E33">
        <v>9</v>
      </c>
      <c r="F33">
        <v>7</v>
      </c>
      <c r="G33">
        <v>5</v>
      </c>
      <c r="H33">
        <v>8</v>
      </c>
      <c r="I33">
        <v>7</v>
      </c>
      <c r="J33" s="18"/>
      <c r="K33" s="7"/>
      <c r="L33" s="7"/>
      <c r="M33" s="7"/>
      <c r="N33" s="7"/>
      <c r="O33" s="7"/>
      <c r="P33" s="7"/>
      <c r="Q33" s="7"/>
      <c r="R33" s="14">
        <v>16</v>
      </c>
      <c r="S33">
        <v>19</v>
      </c>
      <c r="T33">
        <v>7</v>
      </c>
      <c r="U33">
        <v>6</v>
      </c>
      <c r="V33">
        <v>5</v>
      </c>
      <c r="X33">
        <v>5</v>
      </c>
      <c r="Y33">
        <v>19</v>
      </c>
      <c r="Z33" s="14">
        <v>4</v>
      </c>
      <c r="AA33">
        <v>27</v>
      </c>
      <c r="AB33">
        <v>31</v>
      </c>
      <c r="AC33">
        <v>5</v>
      </c>
      <c r="AD33">
        <v>20</v>
      </c>
      <c r="AE33">
        <v>12</v>
      </c>
      <c r="AF33">
        <v>14</v>
      </c>
      <c r="AG33">
        <v>10</v>
      </c>
    </row>
    <row r="34" spans="1:33" x14ac:dyDescent="0.25">
      <c r="A34" t="s">
        <v>13</v>
      </c>
      <c r="B34">
        <v>3</v>
      </c>
      <c r="C34">
        <v>5</v>
      </c>
      <c r="D34">
        <v>4</v>
      </c>
      <c r="E34">
        <v>1</v>
      </c>
      <c r="F34">
        <v>2</v>
      </c>
      <c r="G34">
        <v>2</v>
      </c>
      <c r="H34">
        <v>2</v>
      </c>
      <c r="I34">
        <v>0</v>
      </c>
      <c r="J34" s="18"/>
      <c r="K34" s="7"/>
      <c r="L34" s="7"/>
      <c r="M34" s="7"/>
      <c r="N34" s="7"/>
      <c r="O34" s="7"/>
      <c r="P34" s="7"/>
      <c r="Q34" s="7"/>
      <c r="R34" s="14">
        <v>3</v>
      </c>
      <c r="S34">
        <v>38</v>
      </c>
      <c r="T34">
        <v>39</v>
      </c>
      <c r="U34">
        <v>2</v>
      </c>
      <c r="V34">
        <v>32</v>
      </c>
      <c r="W34">
        <v>3</v>
      </c>
      <c r="X34">
        <v>1</v>
      </c>
      <c r="Y34">
        <v>0</v>
      </c>
      <c r="Z34" s="14">
        <v>2</v>
      </c>
      <c r="AA34">
        <v>26</v>
      </c>
      <c r="AB34">
        <v>25</v>
      </c>
      <c r="AC34">
        <v>24</v>
      </c>
      <c r="AD34">
        <v>4</v>
      </c>
      <c r="AE34">
        <v>8</v>
      </c>
      <c r="AF34">
        <v>1</v>
      </c>
      <c r="AG34">
        <v>16</v>
      </c>
    </row>
    <row r="35" spans="1:33" x14ac:dyDescent="0.25">
      <c r="A35" t="s">
        <v>68</v>
      </c>
      <c r="B35">
        <v>16</v>
      </c>
      <c r="C35">
        <v>22</v>
      </c>
      <c r="D35">
        <v>10</v>
      </c>
      <c r="E35">
        <v>7</v>
      </c>
      <c r="F35">
        <v>10</v>
      </c>
      <c r="G35">
        <v>7</v>
      </c>
      <c r="H35">
        <v>8</v>
      </c>
      <c r="I35">
        <v>5</v>
      </c>
      <c r="J35" s="18"/>
      <c r="K35" s="7"/>
      <c r="L35" s="7"/>
      <c r="M35" s="7"/>
      <c r="N35" s="7"/>
      <c r="O35" s="7"/>
      <c r="P35" s="7"/>
      <c r="Q35" s="7"/>
      <c r="R35" s="14">
        <v>14</v>
      </c>
      <c r="S35">
        <v>29</v>
      </c>
      <c r="T35">
        <v>19</v>
      </c>
      <c r="U35">
        <v>73</v>
      </c>
      <c r="V35">
        <v>7</v>
      </c>
      <c r="W35">
        <v>11</v>
      </c>
      <c r="X35">
        <v>13</v>
      </c>
      <c r="Y35">
        <v>3</v>
      </c>
      <c r="Z35" s="14">
        <v>59</v>
      </c>
      <c r="AA35">
        <v>18</v>
      </c>
      <c r="AB35">
        <v>10</v>
      </c>
      <c r="AC35">
        <v>15</v>
      </c>
      <c r="AD35">
        <v>11</v>
      </c>
      <c r="AE35">
        <v>35</v>
      </c>
      <c r="AF35">
        <v>46</v>
      </c>
      <c r="AG35">
        <v>5</v>
      </c>
    </row>
    <row r="36" spans="1:33" x14ac:dyDescent="0.25">
      <c r="A36" t="s">
        <v>69</v>
      </c>
      <c r="B36">
        <v>45</v>
      </c>
      <c r="C36">
        <v>50</v>
      </c>
      <c r="D36">
        <v>54</v>
      </c>
      <c r="E36">
        <v>82</v>
      </c>
      <c r="F36">
        <v>44</v>
      </c>
      <c r="G36">
        <v>68</v>
      </c>
      <c r="H36">
        <v>71</v>
      </c>
      <c r="I36">
        <v>80</v>
      </c>
      <c r="J36" s="14">
        <v>68</v>
      </c>
      <c r="K36">
        <v>50</v>
      </c>
      <c r="L36">
        <v>61</v>
      </c>
      <c r="M36">
        <v>79</v>
      </c>
      <c r="N36">
        <v>60</v>
      </c>
      <c r="O36">
        <v>73</v>
      </c>
      <c r="P36">
        <v>61</v>
      </c>
      <c r="Q36">
        <v>63</v>
      </c>
      <c r="R36" s="14">
        <v>86</v>
      </c>
      <c r="S36">
        <v>64</v>
      </c>
      <c r="T36">
        <v>79</v>
      </c>
      <c r="U36">
        <v>84</v>
      </c>
      <c r="V36">
        <v>78</v>
      </c>
      <c r="W36">
        <v>95</v>
      </c>
      <c r="X36">
        <v>84</v>
      </c>
      <c r="Y36">
        <v>95</v>
      </c>
      <c r="Z36" s="14">
        <v>68</v>
      </c>
      <c r="AA36">
        <v>93</v>
      </c>
      <c r="AB36">
        <v>82</v>
      </c>
      <c r="AC36">
        <v>77</v>
      </c>
      <c r="AD36">
        <v>76</v>
      </c>
      <c r="AE36">
        <v>77</v>
      </c>
      <c r="AF36">
        <v>92</v>
      </c>
      <c r="AG36">
        <v>84</v>
      </c>
    </row>
    <row r="37" spans="1:33" x14ac:dyDescent="0.25">
      <c r="A37" t="s">
        <v>70</v>
      </c>
      <c r="B37">
        <v>24</v>
      </c>
      <c r="C37">
        <v>24</v>
      </c>
      <c r="D37">
        <v>13</v>
      </c>
      <c r="E37">
        <v>8</v>
      </c>
      <c r="F37">
        <v>23</v>
      </c>
      <c r="G37">
        <v>4</v>
      </c>
      <c r="H37">
        <v>18</v>
      </c>
      <c r="I37">
        <v>11</v>
      </c>
      <c r="J37" s="14">
        <v>64</v>
      </c>
      <c r="K37">
        <v>63</v>
      </c>
      <c r="L37">
        <v>0</v>
      </c>
      <c r="M37">
        <v>61</v>
      </c>
      <c r="N37">
        <v>32</v>
      </c>
      <c r="O37">
        <v>25</v>
      </c>
      <c r="P37">
        <v>35</v>
      </c>
      <c r="Q37">
        <v>61</v>
      </c>
      <c r="R37" s="14">
        <v>71</v>
      </c>
      <c r="S37">
        <v>65</v>
      </c>
      <c r="T37">
        <v>61</v>
      </c>
      <c r="U37">
        <v>61</v>
      </c>
      <c r="V37">
        <v>68</v>
      </c>
      <c r="W37">
        <v>12</v>
      </c>
      <c r="X37">
        <v>62</v>
      </c>
      <c r="Y37">
        <v>62</v>
      </c>
      <c r="Z37" s="14">
        <v>75</v>
      </c>
      <c r="AA37">
        <v>70</v>
      </c>
      <c r="AB37">
        <v>36</v>
      </c>
      <c r="AC37">
        <v>69</v>
      </c>
      <c r="AD37">
        <v>34</v>
      </c>
      <c r="AE37">
        <v>25</v>
      </c>
      <c r="AF37">
        <v>1</v>
      </c>
      <c r="AG37">
        <v>65</v>
      </c>
    </row>
    <row r="38" spans="1:33" x14ac:dyDescent="0.25">
      <c r="A38" t="s">
        <v>74</v>
      </c>
      <c r="B38">
        <v>61</v>
      </c>
      <c r="C38">
        <v>70</v>
      </c>
      <c r="D38">
        <v>59</v>
      </c>
      <c r="E38">
        <v>59</v>
      </c>
      <c r="F38">
        <v>54</v>
      </c>
      <c r="G38">
        <v>62</v>
      </c>
      <c r="H38">
        <v>50</v>
      </c>
      <c r="I38">
        <v>62</v>
      </c>
      <c r="J38" s="14">
        <v>49</v>
      </c>
      <c r="K38">
        <v>51</v>
      </c>
      <c r="L38">
        <v>53</v>
      </c>
      <c r="M38">
        <v>53</v>
      </c>
      <c r="N38">
        <v>58</v>
      </c>
      <c r="O38">
        <v>52</v>
      </c>
      <c r="P38">
        <v>52</v>
      </c>
      <c r="Q38">
        <v>49</v>
      </c>
      <c r="R38" s="14">
        <v>72</v>
      </c>
      <c r="S38">
        <v>55</v>
      </c>
      <c r="T38">
        <v>76</v>
      </c>
      <c r="U38">
        <v>48</v>
      </c>
      <c r="V38">
        <v>74</v>
      </c>
      <c r="W38">
        <v>61</v>
      </c>
      <c r="X38">
        <v>62</v>
      </c>
      <c r="Y38">
        <v>61</v>
      </c>
      <c r="Z38" s="14">
        <v>72</v>
      </c>
      <c r="AA38">
        <v>71</v>
      </c>
      <c r="AB38">
        <v>66</v>
      </c>
      <c r="AC38">
        <v>61</v>
      </c>
      <c r="AD38">
        <v>52</v>
      </c>
      <c r="AE38">
        <v>65</v>
      </c>
      <c r="AF38">
        <v>51</v>
      </c>
      <c r="AG38">
        <v>67</v>
      </c>
    </row>
    <row r="39" spans="1:33" x14ac:dyDescent="0.25">
      <c r="A39" t="s">
        <v>79</v>
      </c>
      <c r="B39">
        <v>17</v>
      </c>
      <c r="C39">
        <v>4</v>
      </c>
      <c r="D39">
        <v>7</v>
      </c>
      <c r="E39">
        <v>46</v>
      </c>
      <c r="F39">
        <v>17</v>
      </c>
      <c r="G39">
        <v>18</v>
      </c>
      <c r="H39">
        <v>7</v>
      </c>
      <c r="I39">
        <v>22</v>
      </c>
      <c r="J39" s="14">
        <v>6</v>
      </c>
      <c r="K39">
        <v>4</v>
      </c>
      <c r="L39">
        <v>18</v>
      </c>
      <c r="M39">
        <v>15</v>
      </c>
      <c r="N39">
        <v>17</v>
      </c>
      <c r="O39">
        <v>12</v>
      </c>
      <c r="P39">
        <v>3</v>
      </c>
      <c r="Q39">
        <v>6</v>
      </c>
      <c r="R39" s="14">
        <v>31</v>
      </c>
      <c r="S39">
        <v>36</v>
      </c>
      <c r="T39">
        <v>49</v>
      </c>
      <c r="U39">
        <v>45</v>
      </c>
      <c r="V39">
        <v>28</v>
      </c>
      <c r="W39">
        <v>18</v>
      </c>
      <c r="X39">
        <v>54</v>
      </c>
      <c r="Y39">
        <v>46</v>
      </c>
      <c r="Z39" s="14">
        <v>18</v>
      </c>
      <c r="AA39">
        <v>46</v>
      </c>
      <c r="AB39">
        <v>50</v>
      </c>
      <c r="AC39">
        <v>46</v>
      </c>
      <c r="AD39">
        <v>27</v>
      </c>
      <c r="AE39">
        <v>28</v>
      </c>
      <c r="AF39">
        <v>37</v>
      </c>
      <c r="AG39">
        <v>47</v>
      </c>
    </row>
    <row r="40" spans="1:33" x14ac:dyDescent="0.25">
      <c r="A40" t="s">
        <v>80</v>
      </c>
      <c r="B40">
        <v>39</v>
      </c>
      <c r="C40">
        <v>5</v>
      </c>
      <c r="D40">
        <v>65</v>
      </c>
      <c r="E40">
        <v>52</v>
      </c>
      <c r="F40">
        <v>43</v>
      </c>
      <c r="G40">
        <v>38</v>
      </c>
      <c r="H40">
        <v>12</v>
      </c>
      <c r="I40">
        <v>29</v>
      </c>
      <c r="J40" s="14">
        <v>21</v>
      </c>
      <c r="K40">
        <v>68</v>
      </c>
      <c r="L40">
        <v>24</v>
      </c>
      <c r="M40">
        <v>29</v>
      </c>
      <c r="N40">
        <v>41</v>
      </c>
      <c r="O40">
        <v>9</v>
      </c>
      <c r="P40">
        <v>37</v>
      </c>
      <c r="Q40">
        <v>32</v>
      </c>
      <c r="R40" s="14">
        <v>4</v>
      </c>
      <c r="S40">
        <v>55</v>
      </c>
      <c r="T40">
        <v>57</v>
      </c>
      <c r="U40">
        <v>38</v>
      </c>
      <c r="V40">
        <v>34</v>
      </c>
      <c r="W40">
        <v>58</v>
      </c>
      <c r="X40">
        <v>42</v>
      </c>
      <c r="Y40">
        <v>34</v>
      </c>
      <c r="Z40" s="14">
        <v>43</v>
      </c>
      <c r="AA40">
        <v>22</v>
      </c>
      <c r="AB40">
        <v>27</v>
      </c>
      <c r="AC40">
        <v>50</v>
      </c>
      <c r="AD40">
        <v>59</v>
      </c>
      <c r="AE40">
        <v>62</v>
      </c>
      <c r="AF40">
        <v>81</v>
      </c>
      <c r="AG40">
        <v>59</v>
      </c>
    </row>
    <row r="41" spans="1:33" x14ac:dyDescent="0.25">
      <c r="A41" t="s">
        <v>86</v>
      </c>
      <c r="B41">
        <v>29</v>
      </c>
      <c r="C41">
        <v>12</v>
      </c>
      <c r="D41">
        <v>27</v>
      </c>
      <c r="E41">
        <v>12</v>
      </c>
      <c r="F41">
        <v>7</v>
      </c>
      <c r="G41">
        <v>6</v>
      </c>
      <c r="H41">
        <v>18</v>
      </c>
      <c r="I41">
        <v>4</v>
      </c>
      <c r="J41" s="14">
        <v>18</v>
      </c>
      <c r="K41">
        <v>35</v>
      </c>
      <c r="L41">
        <v>29</v>
      </c>
      <c r="M41">
        <v>14</v>
      </c>
      <c r="N41">
        <v>12</v>
      </c>
      <c r="O41">
        <v>13</v>
      </c>
      <c r="P41">
        <v>5</v>
      </c>
      <c r="Q41">
        <v>10</v>
      </c>
      <c r="R41" s="14">
        <v>24</v>
      </c>
      <c r="S41">
        <v>17</v>
      </c>
      <c r="T41">
        <v>22</v>
      </c>
      <c r="U41">
        <v>8</v>
      </c>
      <c r="V41">
        <v>5</v>
      </c>
      <c r="W41">
        <v>5</v>
      </c>
      <c r="X41">
        <v>14</v>
      </c>
      <c r="Y41">
        <v>8</v>
      </c>
      <c r="Z41" s="14">
        <v>13</v>
      </c>
      <c r="AA41">
        <v>16</v>
      </c>
      <c r="AB41">
        <v>14</v>
      </c>
      <c r="AC41">
        <v>21</v>
      </c>
      <c r="AD41">
        <v>16</v>
      </c>
      <c r="AE41">
        <v>9</v>
      </c>
      <c r="AF41">
        <v>7</v>
      </c>
      <c r="AG41">
        <v>26</v>
      </c>
    </row>
    <row r="42" spans="1:33" x14ac:dyDescent="0.25">
      <c r="A42" t="s">
        <v>92</v>
      </c>
      <c r="B42">
        <v>27</v>
      </c>
      <c r="C42">
        <v>69</v>
      </c>
      <c r="D42">
        <v>19</v>
      </c>
      <c r="E42">
        <v>33</v>
      </c>
      <c r="F42">
        <v>24</v>
      </c>
      <c r="G42">
        <v>21</v>
      </c>
      <c r="H42">
        <v>60</v>
      </c>
      <c r="I42">
        <v>42</v>
      </c>
      <c r="J42" s="14">
        <v>7</v>
      </c>
      <c r="K42">
        <v>71</v>
      </c>
      <c r="L42">
        <v>59</v>
      </c>
      <c r="M42">
        <v>67</v>
      </c>
      <c r="N42">
        <v>65</v>
      </c>
      <c r="O42">
        <v>62</v>
      </c>
      <c r="P42">
        <v>72</v>
      </c>
      <c r="Q42">
        <v>36</v>
      </c>
      <c r="R42" s="14">
        <v>65</v>
      </c>
      <c r="S42">
        <v>64</v>
      </c>
      <c r="T42">
        <v>71</v>
      </c>
      <c r="U42">
        <v>66</v>
      </c>
      <c r="V42">
        <v>19</v>
      </c>
      <c r="W42">
        <v>62</v>
      </c>
      <c r="X42">
        <v>47</v>
      </c>
      <c r="Y42">
        <v>60</v>
      </c>
      <c r="Z42" s="14">
        <v>37</v>
      </c>
      <c r="AA42">
        <v>32</v>
      </c>
      <c r="AB42">
        <v>68</v>
      </c>
      <c r="AC42">
        <v>62</v>
      </c>
      <c r="AD42">
        <v>13</v>
      </c>
      <c r="AE42">
        <v>45</v>
      </c>
      <c r="AF42">
        <v>66</v>
      </c>
      <c r="AG42">
        <v>28</v>
      </c>
    </row>
    <row r="43" spans="1:33" x14ac:dyDescent="0.25">
      <c r="A43" t="s">
        <v>93</v>
      </c>
      <c r="B43">
        <v>46</v>
      </c>
      <c r="C43">
        <v>14</v>
      </c>
      <c r="D43">
        <v>22</v>
      </c>
      <c r="E43">
        <v>21</v>
      </c>
      <c r="F43">
        <v>18</v>
      </c>
      <c r="G43">
        <v>17</v>
      </c>
      <c r="H43">
        <v>23</v>
      </c>
      <c r="I43">
        <v>10</v>
      </c>
      <c r="J43" s="14">
        <v>80</v>
      </c>
      <c r="K43">
        <v>79</v>
      </c>
      <c r="L43">
        <v>80</v>
      </c>
      <c r="M43">
        <v>76</v>
      </c>
      <c r="N43">
        <v>79</v>
      </c>
      <c r="O43">
        <v>65</v>
      </c>
      <c r="P43">
        <v>88</v>
      </c>
      <c r="Q43">
        <v>84</v>
      </c>
      <c r="R43" s="14">
        <v>66</v>
      </c>
      <c r="S43">
        <v>80</v>
      </c>
      <c r="T43">
        <v>76</v>
      </c>
      <c r="U43">
        <v>17</v>
      </c>
      <c r="V43">
        <v>63</v>
      </c>
      <c r="W43">
        <v>75</v>
      </c>
      <c r="X43">
        <v>74</v>
      </c>
      <c r="Y43">
        <v>84</v>
      </c>
      <c r="Z43" s="14">
        <v>45</v>
      </c>
      <c r="AA43">
        <v>29</v>
      </c>
      <c r="AB43">
        <v>78</v>
      </c>
      <c r="AC43">
        <v>58</v>
      </c>
      <c r="AD43">
        <v>58</v>
      </c>
      <c r="AE43">
        <v>79</v>
      </c>
      <c r="AF43">
        <v>78</v>
      </c>
      <c r="AG43">
        <v>86</v>
      </c>
    </row>
    <row r="44" spans="1:33" x14ac:dyDescent="0.25">
      <c r="A44" t="s">
        <v>110</v>
      </c>
      <c r="B44">
        <v>75</v>
      </c>
      <c r="C44">
        <v>76</v>
      </c>
      <c r="D44">
        <v>60</v>
      </c>
      <c r="E44">
        <v>74</v>
      </c>
      <c r="F44">
        <v>86</v>
      </c>
      <c r="G44">
        <v>65</v>
      </c>
      <c r="H44">
        <v>76</v>
      </c>
      <c r="I44">
        <v>66</v>
      </c>
      <c r="J44" s="14">
        <v>23</v>
      </c>
      <c r="K44">
        <v>15</v>
      </c>
      <c r="L44">
        <v>16</v>
      </c>
      <c r="M44">
        <v>7</v>
      </c>
      <c r="N44">
        <v>21</v>
      </c>
      <c r="O44">
        <v>7</v>
      </c>
      <c r="P44">
        <v>15</v>
      </c>
      <c r="Q44">
        <v>11</v>
      </c>
      <c r="R44" s="14">
        <v>87</v>
      </c>
      <c r="S44">
        <v>84</v>
      </c>
      <c r="T44">
        <v>77</v>
      </c>
      <c r="U44">
        <v>86</v>
      </c>
      <c r="V44">
        <v>95</v>
      </c>
      <c r="W44">
        <v>92</v>
      </c>
      <c r="X44">
        <v>94</v>
      </c>
      <c r="Y44">
        <v>94</v>
      </c>
      <c r="Z44" s="14">
        <v>85</v>
      </c>
      <c r="AA44">
        <v>92</v>
      </c>
      <c r="AB44">
        <v>81</v>
      </c>
      <c r="AC44">
        <v>89</v>
      </c>
      <c r="AD44">
        <v>93</v>
      </c>
      <c r="AE44">
        <v>85</v>
      </c>
      <c r="AF44">
        <v>94</v>
      </c>
      <c r="AG44">
        <v>89</v>
      </c>
    </row>
    <row r="45" spans="1:33" x14ac:dyDescent="0.25">
      <c r="A45" t="s">
        <v>120</v>
      </c>
      <c r="B45">
        <v>15</v>
      </c>
      <c r="C45">
        <v>8</v>
      </c>
      <c r="D45">
        <v>6</v>
      </c>
      <c r="E45" s="7"/>
      <c r="F45">
        <v>11</v>
      </c>
      <c r="G45">
        <v>15</v>
      </c>
      <c r="H45">
        <v>4</v>
      </c>
      <c r="I45">
        <v>9</v>
      </c>
      <c r="J45" s="14">
        <v>10</v>
      </c>
      <c r="K45">
        <v>4</v>
      </c>
      <c r="L45">
        <v>7</v>
      </c>
      <c r="M45" s="7"/>
      <c r="N45">
        <v>7</v>
      </c>
      <c r="O45">
        <v>6</v>
      </c>
      <c r="P45">
        <v>4</v>
      </c>
      <c r="Q45">
        <v>5</v>
      </c>
      <c r="R45" s="14">
        <v>11</v>
      </c>
      <c r="S45">
        <v>17</v>
      </c>
      <c r="T45">
        <v>8</v>
      </c>
      <c r="U45" s="7"/>
      <c r="V45">
        <v>15</v>
      </c>
      <c r="W45">
        <v>15</v>
      </c>
      <c r="X45">
        <v>7</v>
      </c>
      <c r="Y45">
        <v>7</v>
      </c>
      <c r="Z45" s="14">
        <v>41</v>
      </c>
      <c r="AA45">
        <v>17</v>
      </c>
      <c r="AB45">
        <v>28</v>
      </c>
      <c r="AC45" s="7"/>
      <c r="AD45">
        <v>24</v>
      </c>
      <c r="AE45">
        <v>11</v>
      </c>
      <c r="AF45">
        <v>7</v>
      </c>
      <c r="AG45">
        <v>27</v>
      </c>
    </row>
    <row r="46" spans="1:33" s="4" customFormat="1" x14ac:dyDescent="0.25">
      <c r="A46" s="4" t="s">
        <v>125</v>
      </c>
      <c r="B46" s="4">
        <v>28</v>
      </c>
      <c r="C46" s="4">
        <v>45</v>
      </c>
      <c r="D46" s="4">
        <v>42</v>
      </c>
      <c r="E46" s="4">
        <v>46</v>
      </c>
      <c r="F46" s="4">
        <v>37</v>
      </c>
      <c r="G46" s="4">
        <v>49</v>
      </c>
      <c r="H46" s="4">
        <v>55</v>
      </c>
      <c r="I46" s="4">
        <v>44</v>
      </c>
      <c r="J46" s="16">
        <v>30</v>
      </c>
      <c r="K46" s="4">
        <v>30</v>
      </c>
      <c r="L46" s="4">
        <v>12</v>
      </c>
      <c r="M46" s="4">
        <v>39</v>
      </c>
      <c r="N46" s="4">
        <v>38</v>
      </c>
      <c r="O46" s="4">
        <v>21</v>
      </c>
      <c r="P46" s="4">
        <v>35</v>
      </c>
      <c r="Q46" s="4">
        <v>25</v>
      </c>
      <c r="R46" s="16">
        <v>50</v>
      </c>
      <c r="S46" s="4">
        <v>67</v>
      </c>
      <c r="T46" s="4">
        <v>60</v>
      </c>
      <c r="U46" s="4">
        <v>71</v>
      </c>
      <c r="V46" s="4">
        <v>58</v>
      </c>
      <c r="W46" s="4">
        <v>62</v>
      </c>
      <c r="X46" s="4">
        <v>51</v>
      </c>
      <c r="Y46" s="4">
        <v>68</v>
      </c>
      <c r="Z46" s="16">
        <v>73</v>
      </c>
      <c r="AA46" s="4">
        <v>80</v>
      </c>
      <c r="AB46" s="4">
        <v>65</v>
      </c>
      <c r="AC46" s="4">
        <v>73</v>
      </c>
      <c r="AD46" s="4">
        <v>55</v>
      </c>
      <c r="AE46" s="4">
        <v>57</v>
      </c>
      <c r="AF46" s="4">
        <v>56</v>
      </c>
      <c r="AG46" s="4">
        <v>39</v>
      </c>
    </row>
    <row r="47" spans="1:33" x14ac:dyDescent="0.25">
      <c r="A47" t="s">
        <v>130</v>
      </c>
      <c r="B47" s="4">
        <v>24</v>
      </c>
      <c r="C47" s="4">
        <v>17</v>
      </c>
      <c r="D47" s="4">
        <v>20</v>
      </c>
      <c r="E47" s="4">
        <v>12</v>
      </c>
      <c r="F47" s="4">
        <v>14</v>
      </c>
      <c r="G47" s="4">
        <v>10</v>
      </c>
      <c r="H47" s="4">
        <v>12</v>
      </c>
      <c r="I47" s="4">
        <v>9</v>
      </c>
      <c r="J47" s="14">
        <v>4</v>
      </c>
      <c r="K47" s="4">
        <v>14</v>
      </c>
      <c r="L47" s="4">
        <v>24</v>
      </c>
      <c r="M47" s="19">
        <v>13</v>
      </c>
      <c r="N47" s="19">
        <v>8</v>
      </c>
      <c r="O47" s="19">
        <v>9</v>
      </c>
      <c r="P47" s="19">
        <v>11</v>
      </c>
      <c r="Q47" s="19">
        <v>8</v>
      </c>
      <c r="R47" s="14">
        <v>21</v>
      </c>
      <c r="S47" s="4">
        <v>19</v>
      </c>
      <c r="T47" s="4">
        <v>22</v>
      </c>
      <c r="U47" s="19">
        <v>14</v>
      </c>
      <c r="V47" s="19">
        <v>9</v>
      </c>
      <c r="W47" s="19">
        <v>14</v>
      </c>
      <c r="X47" s="19">
        <v>10</v>
      </c>
      <c r="Y47" s="19">
        <v>9</v>
      </c>
      <c r="Z47" s="14">
        <v>22</v>
      </c>
      <c r="AA47" s="4">
        <v>18</v>
      </c>
      <c r="AB47" s="4">
        <v>14</v>
      </c>
      <c r="AC47" s="19">
        <v>17</v>
      </c>
      <c r="AD47" s="19">
        <v>16</v>
      </c>
      <c r="AE47" s="19">
        <v>11</v>
      </c>
      <c r="AF47" s="19">
        <v>12</v>
      </c>
      <c r="AG47" s="19">
        <v>10</v>
      </c>
    </row>
    <row r="48" spans="1:33" x14ac:dyDescent="0.25">
      <c r="A48" t="s">
        <v>145</v>
      </c>
      <c r="B48" s="4">
        <v>40</v>
      </c>
      <c r="C48" s="4">
        <v>26</v>
      </c>
      <c r="D48" s="4">
        <v>11</v>
      </c>
      <c r="E48" s="4">
        <v>11</v>
      </c>
      <c r="F48" s="4">
        <v>17</v>
      </c>
      <c r="G48" s="4">
        <v>56</v>
      </c>
      <c r="H48" s="4">
        <v>27</v>
      </c>
      <c r="I48" s="4">
        <v>5</v>
      </c>
      <c r="J48" s="14">
        <v>22</v>
      </c>
      <c r="K48" s="4">
        <v>76</v>
      </c>
      <c r="L48" s="4">
        <v>34</v>
      </c>
      <c r="M48" s="19">
        <v>20</v>
      </c>
      <c r="N48" s="19">
        <v>32</v>
      </c>
      <c r="O48" s="19">
        <v>60</v>
      </c>
      <c r="P48" s="19">
        <v>19</v>
      </c>
      <c r="Q48" s="19">
        <v>5</v>
      </c>
      <c r="R48" s="14">
        <v>84</v>
      </c>
      <c r="S48" s="5"/>
      <c r="T48" s="4">
        <v>83</v>
      </c>
      <c r="U48">
        <v>12</v>
      </c>
      <c r="V48" s="19">
        <v>31</v>
      </c>
      <c r="W48" s="19">
        <v>61</v>
      </c>
      <c r="X48" s="19">
        <v>19</v>
      </c>
      <c r="Y48" s="19">
        <v>63</v>
      </c>
      <c r="Z48" s="14">
        <v>89</v>
      </c>
      <c r="AA48" s="5"/>
      <c r="AB48" s="4">
        <v>31</v>
      </c>
      <c r="AC48">
        <v>64</v>
      </c>
      <c r="AD48" s="19">
        <v>34</v>
      </c>
      <c r="AE48" s="19">
        <v>75</v>
      </c>
      <c r="AF48" s="19">
        <v>74</v>
      </c>
      <c r="AG48" s="19">
        <v>54</v>
      </c>
    </row>
    <row r="49" spans="1:39" x14ac:dyDescent="0.25">
      <c r="A49" t="s">
        <v>144</v>
      </c>
      <c r="B49">
        <v>38</v>
      </c>
      <c r="C49">
        <v>30</v>
      </c>
      <c r="D49">
        <v>16</v>
      </c>
      <c r="E49">
        <v>29</v>
      </c>
      <c r="F49">
        <v>22</v>
      </c>
      <c r="G49">
        <v>18</v>
      </c>
      <c r="H49">
        <v>37</v>
      </c>
      <c r="I49">
        <v>27</v>
      </c>
      <c r="J49" s="14">
        <v>40</v>
      </c>
      <c r="K49">
        <v>43</v>
      </c>
      <c r="L49">
        <v>33</v>
      </c>
      <c r="M49">
        <v>34</v>
      </c>
      <c r="N49">
        <v>42</v>
      </c>
      <c r="O49">
        <v>28</v>
      </c>
      <c r="P49">
        <v>43</v>
      </c>
      <c r="Q49">
        <v>30</v>
      </c>
      <c r="R49" s="14">
        <v>48</v>
      </c>
      <c r="S49">
        <v>48</v>
      </c>
      <c r="T49">
        <v>38</v>
      </c>
      <c r="U49">
        <v>21</v>
      </c>
      <c r="V49">
        <v>64</v>
      </c>
      <c r="W49">
        <v>66</v>
      </c>
      <c r="X49">
        <v>51</v>
      </c>
      <c r="Y49">
        <v>63</v>
      </c>
      <c r="Z49" s="14">
        <v>57</v>
      </c>
      <c r="AA49">
        <v>73</v>
      </c>
      <c r="AB49">
        <v>67</v>
      </c>
      <c r="AC49">
        <v>52</v>
      </c>
      <c r="AD49">
        <v>63</v>
      </c>
      <c r="AE49">
        <v>70</v>
      </c>
      <c r="AF49">
        <v>78</v>
      </c>
      <c r="AG49">
        <v>78</v>
      </c>
    </row>
    <row r="50" spans="1:39" x14ac:dyDescent="0.25">
      <c r="A50" t="s">
        <v>132</v>
      </c>
      <c r="B50">
        <v>79</v>
      </c>
      <c r="C50">
        <v>67</v>
      </c>
      <c r="D50">
        <v>51</v>
      </c>
      <c r="E50">
        <v>72</v>
      </c>
      <c r="F50">
        <v>54</v>
      </c>
      <c r="G50">
        <v>60</v>
      </c>
      <c r="H50">
        <v>36</v>
      </c>
      <c r="I50">
        <v>39</v>
      </c>
      <c r="J50" s="14">
        <v>74</v>
      </c>
      <c r="K50">
        <v>65</v>
      </c>
      <c r="L50">
        <v>23</v>
      </c>
      <c r="M50">
        <v>61</v>
      </c>
      <c r="N50">
        <v>35</v>
      </c>
      <c r="O50">
        <v>70</v>
      </c>
      <c r="P50">
        <v>55</v>
      </c>
      <c r="Q50">
        <v>67</v>
      </c>
      <c r="R50" s="14">
        <v>84</v>
      </c>
      <c r="S50">
        <v>71</v>
      </c>
      <c r="T50">
        <v>72</v>
      </c>
      <c r="U50">
        <v>74</v>
      </c>
      <c r="V50">
        <v>71</v>
      </c>
      <c r="W50">
        <v>84</v>
      </c>
      <c r="X50">
        <v>66</v>
      </c>
      <c r="Y50">
        <v>30</v>
      </c>
      <c r="Z50" s="14">
        <v>71</v>
      </c>
      <c r="AA50">
        <v>81</v>
      </c>
      <c r="AB50">
        <v>77</v>
      </c>
      <c r="AC50">
        <v>77</v>
      </c>
      <c r="AD50">
        <v>71</v>
      </c>
      <c r="AE50">
        <v>70</v>
      </c>
      <c r="AF50">
        <v>83</v>
      </c>
      <c r="AG50">
        <v>81</v>
      </c>
    </row>
    <row r="51" spans="1:39" x14ac:dyDescent="0.25">
      <c r="A51" t="s">
        <v>146</v>
      </c>
      <c r="B51">
        <v>5</v>
      </c>
      <c r="C51">
        <v>22</v>
      </c>
      <c r="D51">
        <v>7</v>
      </c>
      <c r="E51">
        <v>7</v>
      </c>
      <c r="F51">
        <v>9</v>
      </c>
      <c r="G51">
        <v>11</v>
      </c>
      <c r="H51">
        <v>8</v>
      </c>
      <c r="I51">
        <v>8</v>
      </c>
      <c r="J51" s="14">
        <v>5</v>
      </c>
      <c r="K51">
        <v>3</v>
      </c>
      <c r="L51">
        <v>2</v>
      </c>
      <c r="M51">
        <v>4</v>
      </c>
      <c r="N51">
        <v>4</v>
      </c>
      <c r="O51">
        <v>3</v>
      </c>
      <c r="P51">
        <v>4</v>
      </c>
      <c r="Q51">
        <v>5</v>
      </c>
      <c r="R51" s="14">
        <v>21</v>
      </c>
      <c r="S51">
        <v>8</v>
      </c>
      <c r="T51">
        <v>22</v>
      </c>
      <c r="U51">
        <v>18</v>
      </c>
      <c r="V51">
        <v>6</v>
      </c>
      <c r="W51">
        <v>8</v>
      </c>
      <c r="X51">
        <v>13</v>
      </c>
      <c r="Y51">
        <v>9</v>
      </c>
      <c r="Z51" s="14">
        <v>26</v>
      </c>
      <c r="AA51">
        <v>16</v>
      </c>
      <c r="AB51">
        <v>30</v>
      </c>
      <c r="AC51">
        <v>23</v>
      </c>
      <c r="AD51">
        <v>4</v>
      </c>
      <c r="AE51">
        <v>13</v>
      </c>
      <c r="AF51">
        <v>12</v>
      </c>
      <c r="AG51">
        <v>8</v>
      </c>
    </row>
    <row r="52" spans="1:39" x14ac:dyDescent="0.25">
      <c r="A52" t="s">
        <v>147</v>
      </c>
      <c r="B52">
        <v>1</v>
      </c>
      <c r="C52">
        <v>5</v>
      </c>
      <c r="D52">
        <v>10</v>
      </c>
      <c r="E52">
        <v>36</v>
      </c>
      <c r="F52">
        <v>50</v>
      </c>
      <c r="G52">
        <v>20</v>
      </c>
      <c r="H52">
        <v>16</v>
      </c>
      <c r="I52">
        <v>11</v>
      </c>
      <c r="J52" s="14">
        <v>3</v>
      </c>
      <c r="K52">
        <v>16</v>
      </c>
      <c r="L52">
        <v>6</v>
      </c>
      <c r="M52">
        <v>26</v>
      </c>
      <c r="N52">
        <v>6</v>
      </c>
      <c r="O52">
        <v>37</v>
      </c>
      <c r="P52">
        <v>25</v>
      </c>
      <c r="Q52">
        <v>6</v>
      </c>
      <c r="R52" s="14">
        <v>11</v>
      </c>
      <c r="S52">
        <v>49</v>
      </c>
      <c r="T52">
        <v>31</v>
      </c>
      <c r="U52">
        <v>40</v>
      </c>
      <c r="V52">
        <v>54</v>
      </c>
      <c r="W52">
        <v>63</v>
      </c>
      <c r="X52">
        <v>26</v>
      </c>
      <c r="Y52">
        <v>49</v>
      </c>
      <c r="Z52" s="14">
        <v>56</v>
      </c>
      <c r="AA52">
        <v>77</v>
      </c>
      <c r="AB52">
        <v>50</v>
      </c>
      <c r="AC52">
        <v>63</v>
      </c>
      <c r="AD52">
        <v>94</v>
      </c>
      <c r="AE52">
        <v>75</v>
      </c>
      <c r="AF52">
        <v>11</v>
      </c>
      <c r="AG52">
        <v>36</v>
      </c>
    </row>
    <row r="53" spans="1:39" x14ac:dyDescent="0.25">
      <c r="A53" t="s">
        <v>155</v>
      </c>
      <c r="B53">
        <v>3</v>
      </c>
      <c r="C53">
        <v>17</v>
      </c>
      <c r="D53">
        <v>0</v>
      </c>
      <c r="E53" s="5"/>
      <c r="F53">
        <v>1</v>
      </c>
      <c r="G53">
        <v>0</v>
      </c>
      <c r="H53">
        <v>0</v>
      </c>
      <c r="I53">
        <v>0</v>
      </c>
      <c r="J53" s="14">
        <v>28</v>
      </c>
      <c r="K53">
        <v>1</v>
      </c>
      <c r="L53">
        <v>31</v>
      </c>
      <c r="M53" s="5"/>
      <c r="N53">
        <v>55</v>
      </c>
      <c r="O53">
        <v>45</v>
      </c>
      <c r="P53">
        <v>21</v>
      </c>
      <c r="Q53">
        <v>16</v>
      </c>
      <c r="R53" s="14">
        <v>1</v>
      </c>
      <c r="S53">
        <v>32</v>
      </c>
      <c r="T53">
        <v>36</v>
      </c>
      <c r="U53" s="5"/>
      <c r="V53">
        <v>48</v>
      </c>
      <c r="W53">
        <v>36</v>
      </c>
      <c r="X53">
        <v>5</v>
      </c>
      <c r="Y53">
        <v>30</v>
      </c>
      <c r="Z53" s="14">
        <v>42</v>
      </c>
      <c r="AA53">
        <v>33</v>
      </c>
      <c r="AB53">
        <v>36</v>
      </c>
      <c r="AC53" s="5"/>
      <c r="AD53">
        <v>0</v>
      </c>
      <c r="AE53">
        <v>0</v>
      </c>
      <c r="AF53">
        <v>17</v>
      </c>
      <c r="AG53">
        <v>35</v>
      </c>
    </row>
    <row r="54" spans="1:39" x14ac:dyDescent="0.25">
      <c r="A54" t="s">
        <v>158</v>
      </c>
      <c r="B54">
        <v>58</v>
      </c>
      <c r="C54">
        <v>53</v>
      </c>
      <c r="D54">
        <v>50</v>
      </c>
      <c r="E54">
        <v>52</v>
      </c>
      <c r="F54">
        <v>67</v>
      </c>
      <c r="G54">
        <v>7</v>
      </c>
      <c r="H54">
        <v>67</v>
      </c>
      <c r="I54">
        <v>68</v>
      </c>
      <c r="J54" s="14">
        <v>2</v>
      </c>
      <c r="K54" s="19">
        <v>2</v>
      </c>
      <c r="L54" s="19">
        <v>3</v>
      </c>
      <c r="M54" s="19">
        <v>2</v>
      </c>
      <c r="N54">
        <v>48</v>
      </c>
      <c r="O54">
        <v>20</v>
      </c>
      <c r="P54">
        <v>14</v>
      </c>
      <c r="Q54">
        <v>3</v>
      </c>
      <c r="R54" s="14">
        <v>85</v>
      </c>
      <c r="S54" s="19">
        <v>73</v>
      </c>
      <c r="T54" s="19">
        <v>84</v>
      </c>
      <c r="U54" s="19">
        <v>61</v>
      </c>
      <c r="V54" s="5"/>
      <c r="W54">
        <v>80</v>
      </c>
      <c r="X54">
        <v>88</v>
      </c>
      <c r="Y54" s="5"/>
      <c r="Z54" s="14">
        <v>52</v>
      </c>
      <c r="AA54" s="19">
        <v>66</v>
      </c>
      <c r="AB54" s="19">
        <v>8</v>
      </c>
      <c r="AC54" s="19">
        <v>92</v>
      </c>
      <c r="AD54">
        <v>74</v>
      </c>
      <c r="AE54">
        <v>88</v>
      </c>
      <c r="AF54">
        <v>88</v>
      </c>
      <c r="AG54" s="5"/>
    </row>
    <row r="55" spans="1:39" x14ac:dyDescent="0.25">
      <c r="A55" t="s">
        <v>162</v>
      </c>
      <c r="B55">
        <v>50</v>
      </c>
      <c r="C55">
        <v>41</v>
      </c>
      <c r="D55">
        <v>14</v>
      </c>
      <c r="E55">
        <v>17</v>
      </c>
      <c r="F55">
        <v>32</v>
      </c>
      <c r="G55">
        <v>14</v>
      </c>
      <c r="H55">
        <v>9</v>
      </c>
      <c r="I55">
        <v>15</v>
      </c>
      <c r="J55" s="14">
        <v>31</v>
      </c>
      <c r="K55">
        <v>20</v>
      </c>
      <c r="L55">
        <v>12</v>
      </c>
      <c r="M55">
        <v>14</v>
      </c>
      <c r="N55">
        <v>7</v>
      </c>
      <c r="O55">
        <v>13</v>
      </c>
      <c r="P55">
        <v>7</v>
      </c>
      <c r="Q55">
        <v>12</v>
      </c>
      <c r="R55" s="14">
        <v>33</v>
      </c>
      <c r="S55">
        <v>23</v>
      </c>
      <c r="T55">
        <v>12</v>
      </c>
      <c r="U55">
        <v>20</v>
      </c>
      <c r="V55">
        <v>16</v>
      </c>
      <c r="W55">
        <v>9</v>
      </c>
      <c r="X55">
        <v>13</v>
      </c>
      <c r="Y55">
        <v>23</v>
      </c>
      <c r="Z55" s="14">
        <v>47</v>
      </c>
      <c r="AA55">
        <v>24</v>
      </c>
      <c r="AB55">
        <v>21</v>
      </c>
      <c r="AC55">
        <v>18</v>
      </c>
      <c r="AD55">
        <v>12</v>
      </c>
      <c r="AE55">
        <v>8</v>
      </c>
      <c r="AF55" s="5"/>
      <c r="AG55">
        <v>6</v>
      </c>
    </row>
    <row r="56" spans="1:39" x14ac:dyDescent="0.25">
      <c r="A56" t="s">
        <v>160</v>
      </c>
      <c r="B56">
        <v>20</v>
      </c>
      <c r="C56">
        <v>16</v>
      </c>
      <c r="D56">
        <v>16</v>
      </c>
      <c r="E56">
        <v>14</v>
      </c>
      <c r="F56">
        <v>15</v>
      </c>
      <c r="G56">
        <v>6</v>
      </c>
      <c r="H56">
        <v>8</v>
      </c>
      <c r="I56">
        <v>12</v>
      </c>
      <c r="J56" s="14">
        <v>16</v>
      </c>
      <c r="K56">
        <v>19</v>
      </c>
      <c r="L56">
        <v>22</v>
      </c>
      <c r="M56">
        <v>20</v>
      </c>
      <c r="N56">
        <v>15</v>
      </c>
      <c r="O56">
        <v>18</v>
      </c>
      <c r="P56">
        <v>11</v>
      </c>
      <c r="Q56">
        <v>16</v>
      </c>
      <c r="R56" s="14">
        <v>28</v>
      </c>
      <c r="S56">
        <v>22</v>
      </c>
      <c r="T56">
        <v>27</v>
      </c>
      <c r="U56">
        <v>22</v>
      </c>
      <c r="V56">
        <v>14</v>
      </c>
      <c r="W56">
        <v>15</v>
      </c>
      <c r="X56">
        <v>7</v>
      </c>
      <c r="Y56">
        <v>33</v>
      </c>
      <c r="Z56" s="14">
        <v>27</v>
      </c>
      <c r="AA56">
        <v>24</v>
      </c>
      <c r="AB56">
        <v>18</v>
      </c>
      <c r="AC56">
        <v>30</v>
      </c>
      <c r="AD56">
        <v>21</v>
      </c>
      <c r="AE56">
        <v>16</v>
      </c>
      <c r="AF56">
        <v>24</v>
      </c>
      <c r="AG56">
        <v>26</v>
      </c>
    </row>
    <row r="57" spans="1:39" x14ac:dyDescent="0.25">
      <c r="A57" t="s">
        <v>173</v>
      </c>
      <c r="B57">
        <v>40</v>
      </c>
      <c r="C57">
        <v>50</v>
      </c>
      <c r="D57">
        <v>51</v>
      </c>
      <c r="E57">
        <v>43</v>
      </c>
      <c r="F57">
        <v>53</v>
      </c>
      <c r="G57">
        <v>49</v>
      </c>
      <c r="H57">
        <v>34</v>
      </c>
      <c r="I57">
        <v>28</v>
      </c>
      <c r="J57" s="14">
        <v>16</v>
      </c>
      <c r="K57">
        <v>30</v>
      </c>
      <c r="L57">
        <v>32</v>
      </c>
      <c r="M57">
        <v>28</v>
      </c>
      <c r="N57">
        <v>51</v>
      </c>
      <c r="O57">
        <v>58</v>
      </c>
      <c r="P57">
        <v>33</v>
      </c>
      <c r="Q57">
        <v>27</v>
      </c>
      <c r="R57" s="14">
        <v>65</v>
      </c>
      <c r="S57">
        <v>67</v>
      </c>
      <c r="T57">
        <v>52</v>
      </c>
      <c r="U57" s="5"/>
      <c r="V57">
        <v>82</v>
      </c>
      <c r="W57">
        <v>74</v>
      </c>
      <c r="X57">
        <v>54</v>
      </c>
      <c r="Y57">
        <v>64</v>
      </c>
      <c r="Z57" s="14">
        <v>38</v>
      </c>
      <c r="AA57">
        <v>46</v>
      </c>
      <c r="AB57">
        <v>69</v>
      </c>
      <c r="AC57" s="5"/>
      <c r="AD57">
        <v>40</v>
      </c>
      <c r="AE57">
        <v>70</v>
      </c>
      <c r="AF57">
        <v>70</v>
      </c>
      <c r="AG57">
        <v>49</v>
      </c>
    </row>
    <row r="58" spans="1:39" x14ac:dyDescent="0.25">
      <c r="A58" t="s">
        <v>174</v>
      </c>
      <c r="B58">
        <v>17</v>
      </c>
      <c r="C58">
        <v>28</v>
      </c>
      <c r="D58">
        <v>21</v>
      </c>
      <c r="E58">
        <v>34</v>
      </c>
      <c r="F58">
        <v>28</v>
      </c>
      <c r="G58">
        <v>16</v>
      </c>
      <c r="H58">
        <v>34</v>
      </c>
      <c r="I58">
        <v>14</v>
      </c>
      <c r="J58" s="14">
        <v>13</v>
      </c>
      <c r="K58">
        <v>12</v>
      </c>
      <c r="L58">
        <v>13</v>
      </c>
      <c r="M58">
        <v>10</v>
      </c>
      <c r="N58">
        <v>1</v>
      </c>
      <c r="O58">
        <v>35</v>
      </c>
      <c r="P58">
        <v>14</v>
      </c>
      <c r="Q58">
        <v>27</v>
      </c>
      <c r="R58" s="14">
        <v>61</v>
      </c>
      <c r="S58">
        <v>32</v>
      </c>
      <c r="T58">
        <v>62</v>
      </c>
      <c r="U58">
        <v>59</v>
      </c>
      <c r="V58">
        <v>63</v>
      </c>
      <c r="W58">
        <v>67</v>
      </c>
      <c r="X58">
        <v>56</v>
      </c>
      <c r="Y58">
        <v>67</v>
      </c>
      <c r="Z58" s="14">
        <v>65</v>
      </c>
      <c r="AA58">
        <v>61</v>
      </c>
      <c r="AB58">
        <v>54</v>
      </c>
      <c r="AC58">
        <v>66</v>
      </c>
      <c r="AD58">
        <v>66</v>
      </c>
      <c r="AE58">
        <v>41</v>
      </c>
      <c r="AF58">
        <v>58</v>
      </c>
      <c r="AG58">
        <v>72</v>
      </c>
    </row>
    <row r="59" spans="1:39" x14ac:dyDescent="0.25">
      <c r="A59" t="s">
        <v>175</v>
      </c>
      <c r="B59">
        <v>51</v>
      </c>
      <c r="C59">
        <v>57</v>
      </c>
      <c r="D59">
        <v>67</v>
      </c>
      <c r="E59">
        <v>77</v>
      </c>
      <c r="F59">
        <v>73</v>
      </c>
      <c r="G59">
        <v>68</v>
      </c>
      <c r="H59">
        <v>71</v>
      </c>
      <c r="I59">
        <v>73</v>
      </c>
      <c r="J59" s="14">
        <v>57</v>
      </c>
      <c r="K59">
        <v>66</v>
      </c>
      <c r="L59">
        <v>64</v>
      </c>
      <c r="M59">
        <v>72</v>
      </c>
      <c r="N59">
        <v>67</v>
      </c>
      <c r="O59">
        <v>58</v>
      </c>
      <c r="P59">
        <v>53</v>
      </c>
      <c r="Q59">
        <v>52</v>
      </c>
      <c r="R59" s="14">
        <v>60</v>
      </c>
      <c r="S59">
        <v>65</v>
      </c>
      <c r="T59">
        <v>70</v>
      </c>
      <c r="U59">
        <v>80</v>
      </c>
      <c r="V59">
        <v>71</v>
      </c>
      <c r="W59">
        <v>66</v>
      </c>
      <c r="X59">
        <v>75</v>
      </c>
      <c r="Y59">
        <v>73</v>
      </c>
      <c r="Z59" s="14">
        <v>81</v>
      </c>
      <c r="AA59">
        <v>86</v>
      </c>
      <c r="AB59">
        <v>63</v>
      </c>
      <c r="AC59">
        <v>70</v>
      </c>
      <c r="AD59">
        <v>71</v>
      </c>
      <c r="AE59">
        <v>68</v>
      </c>
      <c r="AF59">
        <v>66</v>
      </c>
      <c r="AG59">
        <v>72</v>
      </c>
    </row>
    <row r="60" spans="1:39" x14ac:dyDescent="0.25">
      <c r="A60" t="s">
        <v>187</v>
      </c>
      <c r="B60">
        <v>23</v>
      </c>
      <c r="C60">
        <v>42</v>
      </c>
      <c r="D60">
        <v>51</v>
      </c>
      <c r="E60">
        <v>29</v>
      </c>
      <c r="F60">
        <v>48</v>
      </c>
      <c r="G60">
        <v>46</v>
      </c>
      <c r="H60">
        <v>56</v>
      </c>
      <c r="I60">
        <v>43</v>
      </c>
      <c r="J60" s="14">
        <v>31</v>
      </c>
      <c r="K60">
        <v>35</v>
      </c>
      <c r="L60">
        <v>38</v>
      </c>
      <c r="M60">
        <v>44</v>
      </c>
      <c r="N60">
        <v>58</v>
      </c>
      <c r="O60">
        <v>22</v>
      </c>
      <c r="P60">
        <v>45</v>
      </c>
      <c r="Q60">
        <v>48</v>
      </c>
      <c r="R60" s="14">
        <v>48</v>
      </c>
      <c r="S60">
        <v>42</v>
      </c>
      <c r="T60">
        <v>54</v>
      </c>
      <c r="U60">
        <v>41</v>
      </c>
      <c r="V60">
        <v>44</v>
      </c>
      <c r="W60">
        <v>36</v>
      </c>
      <c r="X60">
        <v>59</v>
      </c>
      <c r="Y60">
        <v>39</v>
      </c>
      <c r="Z60" s="14">
        <v>61</v>
      </c>
      <c r="AA60">
        <v>53</v>
      </c>
      <c r="AB60">
        <v>58</v>
      </c>
      <c r="AC60">
        <v>37</v>
      </c>
      <c r="AD60">
        <v>61</v>
      </c>
      <c r="AE60">
        <v>47</v>
      </c>
      <c r="AF60">
        <v>57</v>
      </c>
      <c r="AG60">
        <v>52</v>
      </c>
    </row>
    <row r="61" spans="1:39" x14ac:dyDescent="0.25">
      <c r="A61" t="s">
        <v>186</v>
      </c>
      <c r="B61">
        <v>5</v>
      </c>
      <c r="C61">
        <v>5</v>
      </c>
      <c r="D61">
        <v>6</v>
      </c>
      <c r="E61">
        <v>4</v>
      </c>
      <c r="F61">
        <v>9</v>
      </c>
      <c r="G61">
        <v>22</v>
      </c>
      <c r="H61">
        <v>7</v>
      </c>
      <c r="I61">
        <v>4</v>
      </c>
      <c r="J61" s="14">
        <v>7</v>
      </c>
      <c r="K61">
        <v>9</v>
      </c>
      <c r="L61">
        <v>15</v>
      </c>
      <c r="M61">
        <v>14</v>
      </c>
      <c r="N61">
        <v>13</v>
      </c>
      <c r="O61">
        <v>6</v>
      </c>
      <c r="P61">
        <v>12</v>
      </c>
      <c r="Q61">
        <v>6</v>
      </c>
      <c r="R61" s="14">
        <v>12</v>
      </c>
      <c r="S61">
        <v>16</v>
      </c>
      <c r="T61">
        <v>17</v>
      </c>
      <c r="U61">
        <v>6</v>
      </c>
      <c r="V61">
        <v>15</v>
      </c>
      <c r="W61">
        <v>13</v>
      </c>
      <c r="X61">
        <v>5</v>
      </c>
      <c r="Y61">
        <v>19</v>
      </c>
      <c r="Z61" s="14">
        <v>25</v>
      </c>
      <c r="AA61">
        <v>17</v>
      </c>
      <c r="AB61">
        <v>18</v>
      </c>
      <c r="AC61">
        <v>19</v>
      </c>
      <c r="AD61">
        <v>15</v>
      </c>
      <c r="AE61">
        <v>14</v>
      </c>
      <c r="AF61">
        <v>30</v>
      </c>
      <c r="AG61">
        <v>16</v>
      </c>
    </row>
    <row r="63" spans="1:39" x14ac:dyDescent="0.25">
      <c r="AI63" s="25"/>
      <c r="AJ63" s="37"/>
      <c r="AK63" s="37"/>
      <c r="AL63" s="37"/>
      <c r="AM63" s="37"/>
    </row>
    <row r="65" spans="35:39" x14ac:dyDescent="0.25">
      <c r="AI65" s="25"/>
      <c r="AJ65" s="12"/>
      <c r="AK65" s="12"/>
      <c r="AL65" s="12"/>
      <c r="AM65" s="12"/>
    </row>
    <row r="66" spans="35:39" x14ac:dyDescent="0.25">
      <c r="AI66" s="25"/>
      <c r="AJ66" s="12"/>
      <c r="AK66" s="12"/>
      <c r="AL66" s="12"/>
      <c r="AM66" s="12"/>
    </row>
    <row r="67" spans="35:39" x14ac:dyDescent="0.25">
      <c r="AJ67" s="12"/>
      <c r="AK67" s="12"/>
      <c r="AL67" s="12"/>
      <c r="AM67" s="12"/>
    </row>
    <row r="68" spans="35:39" x14ac:dyDescent="0.25">
      <c r="AI68" s="25"/>
      <c r="AJ68" s="12"/>
      <c r="AK68" s="12"/>
      <c r="AL68" s="12"/>
      <c r="AM68" s="12"/>
    </row>
    <row r="69" spans="35:39" x14ac:dyDescent="0.25">
      <c r="AI69" s="25"/>
      <c r="AJ69" s="12"/>
      <c r="AK69" s="12"/>
      <c r="AL69" s="12"/>
      <c r="AM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M69"/>
  <sheetViews>
    <sheetView zoomScale="55" zoomScaleNormal="55" workbookViewId="0">
      <selection activeCell="AK16" sqref="AK16"/>
    </sheetView>
  </sheetViews>
  <sheetFormatPr defaultRowHeight="15" x14ac:dyDescent="0.25"/>
  <cols>
    <col min="10" max="10" width="9.140625" style="14"/>
    <col min="18" max="18" width="9.140625" style="14"/>
    <col min="26" max="26" width="9.140625" style="14"/>
  </cols>
  <sheetData>
    <row r="1" spans="1:33" s="25" customFormat="1" x14ac:dyDescent="0.25">
      <c r="A1" s="25" t="s">
        <v>0</v>
      </c>
      <c r="B1" s="25" t="s">
        <v>205</v>
      </c>
      <c r="C1" s="25" t="s">
        <v>206</v>
      </c>
      <c r="D1" s="25" t="s">
        <v>207</v>
      </c>
      <c r="E1" s="25" t="s">
        <v>208</v>
      </c>
      <c r="F1" s="25" t="s">
        <v>209</v>
      </c>
      <c r="G1" s="25" t="s">
        <v>210</v>
      </c>
      <c r="H1" s="25" t="s">
        <v>211</v>
      </c>
      <c r="I1" s="25" t="s">
        <v>212</v>
      </c>
      <c r="J1" s="25" t="s">
        <v>213</v>
      </c>
      <c r="K1" s="25" t="s">
        <v>214</v>
      </c>
      <c r="L1" s="25" t="s">
        <v>215</v>
      </c>
      <c r="M1" s="25" t="s">
        <v>216</v>
      </c>
      <c r="N1" s="25" t="s">
        <v>217</v>
      </c>
      <c r="O1" s="25" t="s">
        <v>218</v>
      </c>
      <c r="P1" s="25" t="s">
        <v>219</v>
      </c>
      <c r="Q1" s="25" t="s">
        <v>220</v>
      </c>
      <c r="R1" s="31" t="s">
        <v>221</v>
      </c>
      <c r="S1" s="25" t="s">
        <v>222</v>
      </c>
      <c r="T1" s="25" t="s">
        <v>223</v>
      </c>
      <c r="U1" s="25" t="s">
        <v>224</v>
      </c>
      <c r="V1" s="25" t="s">
        <v>225</v>
      </c>
      <c r="W1" s="25" t="s">
        <v>226</v>
      </c>
      <c r="X1" s="25" t="s">
        <v>227</v>
      </c>
      <c r="Y1" s="25" t="s">
        <v>228</v>
      </c>
      <c r="Z1" s="31" t="s">
        <v>229</v>
      </c>
      <c r="AA1" s="25" t="s">
        <v>230</v>
      </c>
      <c r="AB1" s="25" t="s">
        <v>231</v>
      </c>
      <c r="AC1" s="25" t="s">
        <v>232</v>
      </c>
      <c r="AD1" s="25" t="s">
        <v>233</v>
      </c>
      <c r="AE1" s="25" t="s">
        <v>234</v>
      </c>
      <c r="AF1" s="25" t="s">
        <v>235</v>
      </c>
      <c r="AG1" s="25" t="s">
        <v>236</v>
      </c>
    </row>
    <row r="2" spans="1:33" x14ac:dyDescent="0.25">
      <c r="A2" t="s">
        <v>3</v>
      </c>
      <c r="B2">
        <v>15</v>
      </c>
      <c r="C2">
        <v>12</v>
      </c>
      <c r="D2">
        <v>11</v>
      </c>
      <c r="E2">
        <v>11</v>
      </c>
      <c r="F2">
        <v>28</v>
      </c>
      <c r="G2">
        <v>21</v>
      </c>
      <c r="H2">
        <v>18</v>
      </c>
      <c r="I2">
        <v>27</v>
      </c>
      <c r="J2" s="18"/>
      <c r="K2" s="7"/>
      <c r="L2" s="7"/>
      <c r="M2" s="7"/>
      <c r="N2" s="7"/>
      <c r="O2" s="7"/>
      <c r="P2" s="7"/>
      <c r="Q2" s="7"/>
      <c r="R2" s="14">
        <v>70</v>
      </c>
      <c r="S2">
        <v>34</v>
      </c>
      <c r="T2">
        <v>47</v>
      </c>
      <c r="U2">
        <v>73</v>
      </c>
      <c r="V2">
        <v>55</v>
      </c>
      <c r="W2">
        <v>72</v>
      </c>
      <c r="X2">
        <v>50</v>
      </c>
      <c r="Y2">
        <v>49</v>
      </c>
      <c r="Z2" s="14">
        <v>65</v>
      </c>
      <c r="AA2">
        <v>54</v>
      </c>
      <c r="AB2">
        <v>68</v>
      </c>
      <c r="AC2">
        <v>77</v>
      </c>
      <c r="AD2">
        <v>68</v>
      </c>
      <c r="AE2">
        <v>41</v>
      </c>
      <c r="AF2">
        <v>43</v>
      </c>
      <c r="AG2">
        <v>48</v>
      </c>
    </row>
    <row r="3" spans="1:33" x14ac:dyDescent="0.25">
      <c r="A3" t="s">
        <v>13</v>
      </c>
      <c r="B3">
        <v>0</v>
      </c>
      <c r="C3">
        <v>0</v>
      </c>
      <c r="D3">
        <v>0</v>
      </c>
      <c r="E3">
        <v>4</v>
      </c>
      <c r="F3">
        <v>0</v>
      </c>
      <c r="G3">
        <v>0</v>
      </c>
      <c r="H3">
        <v>0</v>
      </c>
      <c r="I3">
        <v>0</v>
      </c>
      <c r="J3" s="18"/>
      <c r="K3" s="7"/>
      <c r="L3" s="7"/>
      <c r="M3" s="7"/>
      <c r="N3" s="7"/>
      <c r="O3" s="7"/>
      <c r="P3" s="7"/>
      <c r="Q3" s="7"/>
      <c r="R3" s="14">
        <v>5</v>
      </c>
      <c r="S3">
        <v>21</v>
      </c>
      <c r="T3">
        <v>26</v>
      </c>
      <c r="U3">
        <v>19</v>
      </c>
      <c r="V3">
        <v>0</v>
      </c>
      <c r="W3">
        <v>0</v>
      </c>
      <c r="X3">
        <v>0</v>
      </c>
      <c r="Y3">
        <v>37</v>
      </c>
      <c r="Z3" s="14">
        <v>29</v>
      </c>
      <c r="AA3">
        <v>36</v>
      </c>
      <c r="AB3">
        <v>54</v>
      </c>
      <c r="AC3">
        <v>68</v>
      </c>
      <c r="AD3">
        <v>72</v>
      </c>
      <c r="AE3">
        <v>66</v>
      </c>
      <c r="AF3">
        <v>63</v>
      </c>
      <c r="AG3">
        <v>60</v>
      </c>
    </row>
    <row r="4" spans="1:33" x14ac:dyDescent="0.25">
      <c r="A4" t="s">
        <v>68</v>
      </c>
      <c r="B4">
        <v>48</v>
      </c>
      <c r="C4">
        <v>23</v>
      </c>
      <c r="D4">
        <v>71</v>
      </c>
      <c r="E4">
        <v>56</v>
      </c>
      <c r="F4">
        <v>42</v>
      </c>
      <c r="G4">
        <v>65</v>
      </c>
      <c r="H4">
        <v>77</v>
      </c>
      <c r="I4">
        <v>54</v>
      </c>
      <c r="J4" s="18"/>
      <c r="K4" s="7"/>
      <c r="L4" s="7"/>
      <c r="M4" s="7"/>
      <c r="N4" s="7"/>
      <c r="O4" s="7"/>
      <c r="P4" s="7"/>
      <c r="Q4" s="7"/>
      <c r="R4" s="14">
        <v>77</v>
      </c>
      <c r="S4">
        <v>91</v>
      </c>
      <c r="T4">
        <v>62</v>
      </c>
      <c r="U4">
        <v>77</v>
      </c>
      <c r="V4">
        <v>71</v>
      </c>
      <c r="W4">
        <v>75</v>
      </c>
      <c r="X4">
        <v>65</v>
      </c>
      <c r="Y4">
        <v>75</v>
      </c>
      <c r="Z4" s="14">
        <v>73</v>
      </c>
      <c r="AA4">
        <v>71</v>
      </c>
      <c r="AB4">
        <v>73</v>
      </c>
      <c r="AC4">
        <v>65</v>
      </c>
      <c r="AD4">
        <v>76</v>
      </c>
      <c r="AE4">
        <v>88</v>
      </c>
      <c r="AF4">
        <v>44</v>
      </c>
      <c r="AG4">
        <v>78</v>
      </c>
    </row>
    <row r="5" spans="1:33" x14ac:dyDescent="0.25">
      <c r="A5" t="s">
        <v>69</v>
      </c>
      <c r="B5">
        <v>46</v>
      </c>
      <c r="C5">
        <v>66</v>
      </c>
      <c r="D5">
        <v>55</v>
      </c>
      <c r="E5">
        <v>59</v>
      </c>
      <c r="F5">
        <v>40</v>
      </c>
      <c r="G5">
        <v>39</v>
      </c>
      <c r="H5">
        <v>49</v>
      </c>
      <c r="I5">
        <v>27</v>
      </c>
      <c r="J5" s="14">
        <v>6</v>
      </c>
      <c r="K5">
        <v>25</v>
      </c>
      <c r="L5">
        <v>16</v>
      </c>
      <c r="M5">
        <v>25</v>
      </c>
      <c r="N5">
        <v>7</v>
      </c>
      <c r="O5">
        <v>5</v>
      </c>
      <c r="P5">
        <v>2</v>
      </c>
      <c r="Q5">
        <v>7</v>
      </c>
      <c r="R5" s="14">
        <v>87</v>
      </c>
      <c r="S5">
        <v>95</v>
      </c>
      <c r="T5">
        <v>82</v>
      </c>
      <c r="U5">
        <v>68</v>
      </c>
      <c r="V5">
        <v>78</v>
      </c>
      <c r="W5">
        <v>69</v>
      </c>
      <c r="X5">
        <v>71</v>
      </c>
      <c r="Y5">
        <v>87</v>
      </c>
      <c r="Z5" s="14">
        <v>89</v>
      </c>
      <c r="AA5">
        <v>75</v>
      </c>
      <c r="AB5">
        <v>93</v>
      </c>
      <c r="AC5">
        <v>85</v>
      </c>
      <c r="AD5">
        <v>89</v>
      </c>
      <c r="AE5">
        <v>85</v>
      </c>
      <c r="AF5">
        <v>95</v>
      </c>
      <c r="AG5">
        <v>84</v>
      </c>
    </row>
    <row r="6" spans="1:33" x14ac:dyDescent="0.25">
      <c r="A6" t="s">
        <v>70</v>
      </c>
      <c r="B6">
        <v>71</v>
      </c>
      <c r="C6">
        <v>67</v>
      </c>
      <c r="D6">
        <v>56</v>
      </c>
      <c r="E6">
        <v>31</v>
      </c>
      <c r="F6">
        <v>74</v>
      </c>
      <c r="G6">
        <v>68</v>
      </c>
      <c r="H6">
        <v>66</v>
      </c>
      <c r="I6">
        <v>60</v>
      </c>
      <c r="J6" s="14">
        <v>7</v>
      </c>
      <c r="K6">
        <v>4</v>
      </c>
      <c r="L6">
        <v>3</v>
      </c>
      <c r="M6">
        <v>4</v>
      </c>
      <c r="N6">
        <v>10</v>
      </c>
      <c r="O6">
        <v>3</v>
      </c>
      <c r="P6">
        <v>2</v>
      </c>
      <c r="Q6">
        <v>2</v>
      </c>
      <c r="R6" s="14">
        <v>91</v>
      </c>
      <c r="S6">
        <v>77</v>
      </c>
      <c r="T6">
        <v>90</v>
      </c>
      <c r="U6">
        <v>82</v>
      </c>
      <c r="V6">
        <v>86</v>
      </c>
      <c r="W6">
        <v>97</v>
      </c>
      <c r="X6">
        <v>95</v>
      </c>
      <c r="Y6">
        <v>82</v>
      </c>
      <c r="Z6" s="14">
        <v>96</v>
      </c>
      <c r="AA6">
        <v>85</v>
      </c>
      <c r="AB6">
        <v>77</v>
      </c>
      <c r="AC6">
        <v>98</v>
      </c>
      <c r="AD6">
        <v>91</v>
      </c>
      <c r="AE6">
        <v>91</v>
      </c>
      <c r="AF6">
        <v>95</v>
      </c>
      <c r="AG6">
        <v>97</v>
      </c>
    </row>
    <row r="7" spans="1:33" x14ac:dyDescent="0.25">
      <c r="A7" t="s">
        <v>74</v>
      </c>
      <c r="B7">
        <v>54</v>
      </c>
      <c r="C7">
        <v>65</v>
      </c>
      <c r="D7">
        <v>68</v>
      </c>
      <c r="E7">
        <v>72</v>
      </c>
      <c r="F7">
        <v>71</v>
      </c>
      <c r="G7">
        <v>73</v>
      </c>
      <c r="H7">
        <v>56</v>
      </c>
      <c r="I7">
        <v>72</v>
      </c>
      <c r="J7" s="14">
        <v>52</v>
      </c>
      <c r="K7">
        <v>54</v>
      </c>
      <c r="L7">
        <v>56</v>
      </c>
      <c r="M7">
        <v>74</v>
      </c>
      <c r="N7">
        <v>57</v>
      </c>
      <c r="O7">
        <v>64</v>
      </c>
      <c r="P7">
        <v>39</v>
      </c>
      <c r="Q7">
        <v>53</v>
      </c>
      <c r="R7" s="14">
        <v>71</v>
      </c>
      <c r="S7">
        <v>81</v>
      </c>
      <c r="T7">
        <v>80</v>
      </c>
      <c r="U7">
        <v>79</v>
      </c>
      <c r="V7">
        <v>87</v>
      </c>
      <c r="W7">
        <v>85</v>
      </c>
      <c r="X7">
        <v>75</v>
      </c>
      <c r="Y7">
        <v>90</v>
      </c>
      <c r="Z7" s="14">
        <v>69</v>
      </c>
      <c r="AA7">
        <v>76</v>
      </c>
      <c r="AB7">
        <v>78</v>
      </c>
      <c r="AC7">
        <v>84</v>
      </c>
      <c r="AD7">
        <v>78</v>
      </c>
      <c r="AE7">
        <v>77</v>
      </c>
      <c r="AF7">
        <v>81</v>
      </c>
      <c r="AG7">
        <v>88</v>
      </c>
    </row>
    <row r="8" spans="1:33" x14ac:dyDescent="0.25">
      <c r="A8" t="s">
        <v>79</v>
      </c>
      <c r="B8">
        <v>64</v>
      </c>
      <c r="C8">
        <v>27</v>
      </c>
      <c r="D8">
        <v>56</v>
      </c>
      <c r="E8">
        <v>62</v>
      </c>
      <c r="F8">
        <v>91</v>
      </c>
      <c r="G8">
        <v>85</v>
      </c>
      <c r="H8">
        <v>98</v>
      </c>
      <c r="I8">
        <v>85</v>
      </c>
      <c r="J8" s="14">
        <v>8</v>
      </c>
      <c r="K8">
        <v>25</v>
      </c>
      <c r="L8">
        <v>20</v>
      </c>
      <c r="M8">
        <v>31</v>
      </c>
      <c r="N8">
        <v>35</v>
      </c>
      <c r="O8">
        <v>33</v>
      </c>
      <c r="P8">
        <v>51</v>
      </c>
      <c r="Q8">
        <v>19</v>
      </c>
      <c r="R8" s="14">
        <v>95</v>
      </c>
      <c r="S8">
        <v>90</v>
      </c>
      <c r="T8">
        <v>80</v>
      </c>
      <c r="U8">
        <v>97</v>
      </c>
      <c r="V8">
        <v>88</v>
      </c>
      <c r="W8">
        <v>33</v>
      </c>
      <c r="X8">
        <v>98</v>
      </c>
      <c r="Y8">
        <v>96</v>
      </c>
      <c r="Z8" s="14">
        <v>93</v>
      </c>
      <c r="AA8">
        <v>98</v>
      </c>
      <c r="AB8">
        <v>95</v>
      </c>
      <c r="AC8">
        <v>89</v>
      </c>
      <c r="AD8">
        <v>95</v>
      </c>
      <c r="AE8">
        <v>97</v>
      </c>
      <c r="AF8">
        <v>96</v>
      </c>
      <c r="AG8">
        <v>96</v>
      </c>
    </row>
    <row r="9" spans="1:33" x14ac:dyDescent="0.25">
      <c r="A9" t="s">
        <v>80</v>
      </c>
      <c r="B9">
        <v>24</v>
      </c>
      <c r="C9">
        <v>8</v>
      </c>
      <c r="D9">
        <v>2</v>
      </c>
      <c r="E9">
        <v>63</v>
      </c>
      <c r="F9">
        <v>63</v>
      </c>
      <c r="G9">
        <v>59</v>
      </c>
      <c r="H9">
        <v>61</v>
      </c>
      <c r="I9">
        <v>38</v>
      </c>
      <c r="J9" s="14">
        <v>70</v>
      </c>
      <c r="K9">
        <v>0</v>
      </c>
      <c r="L9">
        <v>15</v>
      </c>
      <c r="M9">
        <v>63</v>
      </c>
      <c r="N9">
        <v>79</v>
      </c>
      <c r="O9">
        <v>35</v>
      </c>
      <c r="P9">
        <v>18</v>
      </c>
      <c r="Q9">
        <v>59</v>
      </c>
      <c r="R9" s="14">
        <v>41</v>
      </c>
      <c r="S9">
        <v>80</v>
      </c>
      <c r="T9">
        <v>82</v>
      </c>
      <c r="U9" s="7"/>
      <c r="V9">
        <v>49</v>
      </c>
      <c r="W9">
        <v>62</v>
      </c>
      <c r="X9">
        <v>73</v>
      </c>
      <c r="Y9">
        <v>64</v>
      </c>
      <c r="Z9" s="14">
        <v>51</v>
      </c>
      <c r="AA9">
        <v>11</v>
      </c>
      <c r="AB9">
        <v>75</v>
      </c>
      <c r="AC9">
        <v>29</v>
      </c>
      <c r="AD9">
        <v>29</v>
      </c>
      <c r="AE9">
        <v>60</v>
      </c>
      <c r="AF9">
        <v>34</v>
      </c>
      <c r="AG9">
        <v>64</v>
      </c>
    </row>
    <row r="10" spans="1:33" x14ac:dyDescent="0.25">
      <c r="A10" t="s">
        <v>86</v>
      </c>
      <c r="B10">
        <v>61</v>
      </c>
      <c r="C10">
        <v>25</v>
      </c>
      <c r="D10">
        <v>42</v>
      </c>
      <c r="E10">
        <v>56</v>
      </c>
      <c r="F10">
        <v>38</v>
      </c>
      <c r="G10">
        <v>28</v>
      </c>
      <c r="H10">
        <v>35</v>
      </c>
      <c r="I10">
        <v>22</v>
      </c>
      <c r="J10" s="14">
        <v>6</v>
      </c>
      <c r="K10">
        <v>3</v>
      </c>
      <c r="L10">
        <v>29</v>
      </c>
      <c r="M10">
        <v>21</v>
      </c>
      <c r="N10">
        <v>5</v>
      </c>
      <c r="O10">
        <v>9</v>
      </c>
      <c r="P10">
        <v>9</v>
      </c>
      <c r="Q10">
        <v>16</v>
      </c>
      <c r="R10" s="14">
        <v>45</v>
      </c>
      <c r="S10">
        <v>62</v>
      </c>
      <c r="T10">
        <v>48</v>
      </c>
      <c r="U10">
        <v>42</v>
      </c>
      <c r="V10">
        <v>44</v>
      </c>
      <c r="W10">
        <v>26</v>
      </c>
      <c r="X10">
        <v>25</v>
      </c>
      <c r="Y10">
        <v>17</v>
      </c>
      <c r="Z10" s="14">
        <v>63</v>
      </c>
      <c r="AA10">
        <v>53</v>
      </c>
      <c r="AB10">
        <v>66</v>
      </c>
      <c r="AC10">
        <v>41</v>
      </c>
      <c r="AD10">
        <v>33</v>
      </c>
      <c r="AE10">
        <v>37</v>
      </c>
      <c r="AF10">
        <v>40</v>
      </c>
      <c r="AG10">
        <v>41</v>
      </c>
    </row>
    <row r="11" spans="1:33" x14ac:dyDescent="0.25">
      <c r="A11" t="s">
        <v>92</v>
      </c>
      <c r="B11">
        <v>10</v>
      </c>
      <c r="C11">
        <v>0</v>
      </c>
      <c r="D11">
        <v>0</v>
      </c>
      <c r="E11">
        <v>0</v>
      </c>
      <c r="F11">
        <v>5</v>
      </c>
      <c r="G11">
        <v>2</v>
      </c>
      <c r="H11">
        <v>11</v>
      </c>
      <c r="I11">
        <v>0</v>
      </c>
      <c r="J11" s="14">
        <v>2</v>
      </c>
      <c r="K11">
        <v>4</v>
      </c>
      <c r="L11">
        <v>0</v>
      </c>
      <c r="M11">
        <v>4</v>
      </c>
      <c r="N11">
        <v>5</v>
      </c>
      <c r="O11">
        <v>11</v>
      </c>
      <c r="P11">
        <v>3</v>
      </c>
      <c r="Q11">
        <v>2</v>
      </c>
      <c r="R11" s="14">
        <v>6</v>
      </c>
      <c r="S11">
        <v>5</v>
      </c>
      <c r="T11">
        <v>5</v>
      </c>
      <c r="U11">
        <v>3</v>
      </c>
      <c r="V11">
        <v>2</v>
      </c>
      <c r="W11">
        <v>3</v>
      </c>
      <c r="X11">
        <v>41</v>
      </c>
      <c r="Y11">
        <v>14</v>
      </c>
      <c r="Z11" s="14">
        <v>2</v>
      </c>
      <c r="AA11">
        <v>4</v>
      </c>
      <c r="AB11">
        <v>0</v>
      </c>
      <c r="AC11">
        <v>2</v>
      </c>
      <c r="AD11">
        <v>11</v>
      </c>
      <c r="AE11">
        <v>5</v>
      </c>
      <c r="AF11">
        <v>3</v>
      </c>
      <c r="AG11">
        <v>0</v>
      </c>
    </row>
    <row r="12" spans="1:33" x14ac:dyDescent="0.25">
      <c r="A12" t="s">
        <v>93</v>
      </c>
      <c r="B12">
        <v>67</v>
      </c>
      <c r="C12">
        <v>69</v>
      </c>
      <c r="D12">
        <v>78</v>
      </c>
      <c r="E12">
        <v>74</v>
      </c>
      <c r="F12">
        <v>85</v>
      </c>
      <c r="G12">
        <v>77</v>
      </c>
      <c r="H12">
        <v>88</v>
      </c>
      <c r="I12">
        <v>79</v>
      </c>
      <c r="J12" s="14">
        <v>74</v>
      </c>
      <c r="K12">
        <v>84</v>
      </c>
      <c r="L12">
        <v>80</v>
      </c>
      <c r="M12">
        <v>70</v>
      </c>
      <c r="N12">
        <v>62</v>
      </c>
      <c r="O12">
        <v>76</v>
      </c>
      <c r="P12">
        <v>79</v>
      </c>
      <c r="Q12">
        <v>76</v>
      </c>
      <c r="R12" s="14">
        <v>62</v>
      </c>
      <c r="S12">
        <v>69</v>
      </c>
      <c r="T12">
        <v>88</v>
      </c>
      <c r="U12">
        <v>72</v>
      </c>
      <c r="V12">
        <v>73</v>
      </c>
      <c r="W12">
        <v>84</v>
      </c>
      <c r="X12">
        <v>76</v>
      </c>
      <c r="Y12">
        <v>84</v>
      </c>
      <c r="Z12" s="14">
        <v>82</v>
      </c>
      <c r="AA12">
        <v>82</v>
      </c>
      <c r="AB12">
        <v>71</v>
      </c>
      <c r="AC12">
        <v>82</v>
      </c>
      <c r="AD12">
        <v>75</v>
      </c>
      <c r="AE12">
        <v>64</v>
      </c>
      <c r="AF12">
        <v>89</v>
      </c>
      <c r="AG12">
        <v>77</v>
      </c>
    </row>
    <row r="13" spans="1:33" x14ac:dyDescent="0.25">
      <c r="A13" t="s">
        <v>110</v>
      </c>
      <c r="B13">
        <v>24</v>
      </c>
      <c r="C13">
        <v>80</v>
      </c>
      <c r="D13">
        <v>45</v>
      </c>
      <c r="E13">
        <v>86</v>
      </c>
      <c r="F13">
        <v>82</v>
      </c>
      <c r="G13">
        <v>94</v>
      </c>
      <c r="H13">
        <v>80</v>
      </c>
      <c r="I13">
        <v>85</v>
      </c>
      <c r="J13" s="14">
        <v>1</v>
      </c>
      <c r="K13">
        <v>0</v>
      </c>
      <c r="L13">
        <v>0</v>
      </c>
      <c r="M13">
        <v>0</v>
      </c>
      <c r="N13">
        <v>0</v>
      </c>
      <c r="O13">
        <v>8</v>
      </c>
      <c r="P13">
        <v>30</v>
      </c>
      <c r="Q13">
        <v>41</v>
      </c>
      <c r="R13" s="14">
        <v>89</v>
      </c>
      <c r="S13">
        <v>76</v>
      </c>
      <c r="T13">
        <v>98</v>
      </c>
      <c r="U13">
        <v>97</v>
      </c>
      <c r="V13">
        <v>98</v>
      </c>
      <c r="W13">
        <v>97</v>
      </c>
      <c r="X13">
        <v>100</v>
      </c>
      <c r="Y13">
        <v>100</v>
      </c>
      <c r="Z13" s="14">
        <v>99</v>
      </c>
      <c r="AA13">
        <v>99</v>
      </c>
      <c r="AB13">
        <v>97</v>
      </c>
      <c r="AC13">
        <v>98</v>
      </c>
      <c r="AD13">
        <v>100</v>
      </c>
      <c r="AE13">
        <v>100</v>
      </c>
      <c r="AF13">
        <v>80</v>
      </c>
      <c r="AG13">
        <v>100</v>
      </c>
    </row>
    <row r="14" spans="1:33" x14ac:dyDescent="0.25">
      <c r="A14" t="s">
        <v>120</v>
      </c>
      <c r="B14">
        <v>21</v>
      </c>
      <c r="C14">
        <v>27</v>
      </c>
      <c r="D14">
        <v>26</v>
      </c>
      <c r="E14">
        <v>15</v>
      </c>
      <c r="F14">
        <v>38</v>
      </c>
      <c r="G14">
        <v>12</v>
      </c>
      <c r="H14">
        <v>17</v>
      </c>
      <c r="I14">
        <v>20</v>
      </c>
      <c r="J14" s="14">
        <v>9</v>
      </c>
      <c r="K14">
        <v>8</v>
      </c>
      <c r="L14">
        <v>9</v>
      </c>
      <c r="M14">
        <v>3</v>
      </c>
      <c r="N14">
        <v>7</v>
      </c>
      <c r="O14">
        <v>15</v>
      </c>
      <c r="P14">
        <v>5</v>
      </c>
      <c r="Q14">
        <v>17</v>
      </c>
      <c r="R14" s="14">
        <v>70</v>
      </c>
      <c r="S14">
        <v>57</v>
      </c>
      <c r="T14">
        <v>42</v>
      </c>
      <c r="U14">
        <v>42</v>
      </c>
      <c r="V14">
        <v>52</v>
      </c>
      <c r="W14">
        <v>37</v>
      </c>
      <c r="X14">
        <v>34</v>
      </c>
      <c r="Y14">
        <v>37</v>
      </c>
      <c r="Z14" s="14">
        <v>66</v>
      </c>
      <c r="AA14">
        <v>47</v>
      </c>
      <c r="AB14">
        <v>39</v>
      </c>
      <c r="AC14">
        <v>42</v>
      </c>
      <c r="AD14">
        <v>43</v>
      </c>
      <c r="AE14">
        <v>60</v>
      </c>
      <c r="AF14">
        <v>51</v>
      </c>
      <c r="AG14">
        <v>47</v>
      </c>
    </row>
    <row r="15" spans="1:33" x14ac:dyDescent="0.25">
      <c r="A15" t="s">
        <v>125</v>
      </c>
      <c r="B15">
        <v>20</v>
      </c>
      <c r="C15">
        <v>28</v>
      </c>
      <c r="D15">
        <v>15</v>
      </c>
      <c r="E15">
        <v>8</v>
      </c>
      <c r="F15">
        <v>68</v>
      </c>
      <c r="G15">
        <v>66</v>
      </c>
      <c r="H15">
        <v>47</v>
      </c>
      <c r="I15">
        <v>81</v>
      </c>
      <c r="J15" s="14">
        <v>3</v>
      </c>
      <c r="K15">
        <v>6</v>
      </c>
      <c r="L15">
        <v>12</v>
      </c>
      <c r="M15">
        <v>6</v>
      </c>
      <c r="N15">
        <v>47</v>
      </c>
      <c r="O15">
        <v>50</v>
      </c>
      <c r="P15">
        <v>34</v>
      </c>
      <c r="Q15">
        <v>51</v>
      </c>
      <c r="R15" s="14">
        <v>31</v>
      </c>
      <c r="S15">
        <v>29</v>
      </c>
      <c r="T15">
        <v>34</v>
      </c>
      <c r="U15">
        <v>36</v>
      </c>
      <c r="V15">
        <v>37</v>
      </c>
      <c r="W15">
        <v>78</v>
      </c>
      <c r="X15">
        <v>78</v>
      </c>
      <c r="Y15">
        <v>83</v>
      </c>
      <c r="Z15" s="14">
        <v>63</v>
      </c>
      <c r="AA15">
        <v>40</v>
      </c>
      <c r="AB15">
        <v>59</v>
      </c>
      <c r="AC15">
        <v>48</v>
      </c>
      <c r="AD15">
        <v>77</v>
      </c>
      <c r="AE15">
        <v>79</v>
      </c>
      <c r="AF15">
        <v>67</v>
      </c>
      <c r="AG15">
        <v>86</v>
      </c>
    </row>
    <row r="16" spans="1:33" x14ac:dyDescent="0.25">
      <c r="A16" t="s">
        <v>130</v>
      </c>
      <c r="B16">
        <v>6</v>
      </c>
      <c r="C16">
        <v>4</v>
      </c>
      <c r="D16">
        <v>16</v>
      </c>
      <c r="E16">
        <v>13</v>
      </c>
      <c r="F16">
        <v>30</v>
      </c>
      <c r="G16">
        <v>21</v>
      </c>
      <c r="H16">
        <v>26</v>
      </c>
      <c r="I16">
        <v>14</v>
      </c>
      <c r="J16" s="14">
        <v>3</v>
      </c>
      <c r="K16">
        <v>4</v>
      </c>
      <c r="L16">
        <v>52</v>
      </c>
      <c r="M16">
        <v>16</v>
      </c>
      <c r="N16">
        <v>23</v>
      </c>
      <c r="O16">
        <v>10</v>
      </c>
      <c r="P16">
        <v>17</v>
      </c>
      <c r="Q16">
        <v>20</v>
      </c>
      <c r="R16" s="14">
        <v>39</v>
      </c>
      <c r="S16">
        <v>54</v>
      </c>
      <c r="T16">
        <v>46</v>
      </c>
      <c r="U16">
        <v>43</v>
      </c>
      <c r="V16">
        <v>45</v>
      </c>
      <c r="W16">
        <v>31</v>
      </c>
      <c r="X16">
        <v>17</v>
      </c>
      <c r="Y16">
        <v>49</v>
      </c>
      <c r="Z16" s="14">
        <v>72</v>
      </c>
      <c r="AA16">
        <v>65</v>
      </c>
      <c r="AB16">
        <v>45</v>
      </c>
      <c r="AC16">
        <v>42</v>
      </c>
      <c r="AD16">
        <v>36</v>
      </c>
      <c r="AE16">
        <v>64</v>
      </c>
      <c r="AF16">
        <v>28</v>
      </c>
      <c r="AG16">
        <v>31</v>
      </c>
    </row>
    <row r="17" spans="1:33" x14ac:dyDescent="0.25">
      <c r="A17" t="s">
        <v>145</v>
      </c>
      <c r="B17">
        <v>70</v>
      </c>
      <c r="C17">
        <v>75</v>
      </c>
      <c r="D17" s="7"/>
      <c r="E17">
        <v>68</v>
      </c>
      <c r="F17">
        <v>79</v>
      </c>
      <c r="G17">
        <v>72</v>
      </c>
      <c r="H17">
        <v>77</v>
      </c>
      <c r="I17">
        <v>50</v>
      </c>
      <c r="J17" s="14">
        <v>6</v>
      </c>
      <c r="K17">
        <v>70</v>
      </c>
      <c r="L17" s="7"/>
      <c r="M17">
        <v>29</v>
      </c>
      <c r="N17">
        <v>48</v>
      </c>
      <c r="O17">
        <v>27</v>
      </c>
      <c r="P17">
        <v>47</v>
      </c>
      <c r="Q17" s="7"/>
      <c r="R17" s="14">
        <v>59</v>
      </c>
      <c r="S17">
        <v>63</v>
      </c>
      <c r="T17">
        <v>58</v>
      </c>
      <c r="U17">
        <v>64</v>
      </c>
      <c r="V17">
        <v>75</v>
      </c>
      <c r="W17">
        <v>70</v>
      </c>
      <c r="X17">
        <v>74</v>
      </c>
      <c r="Y17" s="7"/>
      <c r="Z17" s="14">
        <v>78</v>
      </c>
      <c r="AA17">
        <v>82</v>
      </c>
      <c r="AB17">
        <v>84</v>
      </c>
      <c r="AC17">
        <v>86</v>
      </c>
      <c r="AD17">
        <v>81</v>
      </c>
      <c r="AE17">
        <v>81</v>
      </c>
      <c r="AF17">
        <v>83</v>
      </c>
      <c r="AG17" s="7"/>
    </row>
    <row r="18" spans="1:33" x14ac:dyDescent="0.25">
      <c r="A18" t="s">
        <v>144</v>
      </c>
      <c r="B18">
        <v>44</v>
      </c>
      <c r="C18">
        <v>27</v>
      </c>
      <c r="D18">
        <v>42</v>
      </c>
      <c r="E18">
        <v>43</v>
      </c>
      <c r="F18">
        <v>31</v>
      </c>
      <c r="G18">
        <v>66</v>
      </c>
      <c r="H18">
        <v>66</v>
      </c>
      <c r="I18">
        <v>37</v>
      </c>
      <c r="J18" s="14">
        <v>52</v>
      </c>
      <c r="K18">
        <v>49</v>
      </c>
      <c r="L18">
        <v>27</v>
      </c>
      <c r="M18">
        <v>40</v>
      </c>
      <c r="N18">
        <v>55</v>
      </c>
      <c r="O18">
        <v>47</v>
      </c>
      <c r="P18">
        <v>77</v>
      </c>
      <c r="Q18">
        <v>45</v>
      </c>
      <c r="R18" s="14">
        <v>62</v>
      </c>
      <c r="S18">
        <v>70</v>
      </c>
      <c r="T18">
        <v>67</v>
      </c>
      <c r="U18">
        <v>47</v>
      </c>
      <c r="V18">
        <v>59</v>
      </c>
      <c r="W18">
        <v>35</v>
      </c>
      <c r="X18">
        <v>61</v>
      </c>
      <c r="Y18">
        <v>51</v>
      </c>
      <c r="Z18" s="14">
        <v>72</v>
      </c>
      <c r="AA18">
        <v>68</v>
      </c>
      <c r="AB18">
        <v>75</v>
      </c>
      <c r="AC18">
        <v>63</v>
      </c>
      <c r="AD18">
        <v>67</v>
      </c>
      <c r="AE18">
        <v>73</v>
      </c>
      <c r="AF18">
        <v>64</v>
      </c>
      <c r="AG18">
        <v>69</v>
      </c>
    </row>
    <row r="19" spans="1:33" x14ac:dyDescent="0.25">
      <c r="A19" t="s">
        <v>132</v>
      </c>
      <c r="B19">
        <v>54</v>
      </c>
      <c r="C19">
        <v>68</v>
      </c>
      <c r="D19">
        <v>59</v>
      </c>
      <c r="E19">
        <v>77</v>
      </c>
      <c r="F19">
        <v>59</v>
      </c>
      <c r="G19">
        <v>79</v>
      </c>
      <c r="H19">
        <v>61</v>
      </c>
      <c r="I19">
        <v>74</v>
      </c>
      <c r="J19" s="14">
        <v>31</v>
      </c>
      <c r="K19">
        <v>45</v>
      </c>
      <c r="L19">
        <v>40</v>
      </c>
      <c r="M19">
        <v>70</v>
      </c>
      <c r="N19">
        <v>60</v>
      </c>
      <c r="O19">
        <v>60</v>
      </c>
      <c r="P19">
        <v>33</v>
      </c>
      <c r="Q19">
        <v>64</v>
      </c>
      <c r="R19" s="14">
        <v>74</v>
      </c>
      <c r="S19">
        <v>58</v>
      </c>
      <c r="T19">
        <v>60</v>
      </c>
      <c r="U19">
        <v>71</v>
      </c>
      <c r="V19">
        <v>72</v>
      </c>
      <c r="W19">
        <v>53</v>
      </c>
      <c r="X19">
        <v>54</v>
      </c>
      <c r="Y19">
        <v>76</v>
      </c>
      <c r="Z19" s="14">
        <v>81</v>
      </c>
      <c r="AA19">
        <v>72</v>
      </c>
      <c r="AB19">
        <v>74</v>
      </c>
      <c r="AC19">
        <v>72</v>
      </c>
      <c r="AD19">
        <v>88</v>
      </c>
      <c r="AE19">
        <v>63</v>
      </c>
      <c r="AF19">
        <v>70</v>
      </c>
      <c r="AG19">
        <v>79</v>
      </c>
    </row>
    <row r="20" spans="1:33" x14ac:dyDescent="0.25">
      <c r="A20" t="s">
        <v>146</v>
      </c>
      <c r="B20">
        <v>4</v>
      </c>
      <c r="C20">
        <v>14</v>
      </c>
      <c r="D20">
        <v>26</v>
      </c>
      <c r="E20">
        <v>7</v>
      </c>
      <c r="F20">
        <v>4</v>
      </c>
      <c r="G20">
        <v>3</v>
      </c>
      <c r="H20">
        <v>13</v>
      </c>
      <c r="I20">
        <v>21</v>
      </c>
      <c r="J20" s="14">
        <v>0</v>
      </c>
      <c r="K20">
        <v>4</v>
      </c>
      <c r="L20">
        <v>5</v>
      </c>
      <c r="M20">
        <v>2</v>
      </c>
      <c r="N20">
        <v>2</v>
      </c>
      <c r="O20">
        <v>4</v>
      </c>
      <c r="P20">
        <v>4</v>
      </c>
      <c r="Q20">
        <v>3</v>
      </c>
      <c r="R20" s="14">
        <v>53</v>
      </c>
      <c r="S20">
        <v>55</v>
      </c>
      <c r="T20">
        <v>52</v>
      </c>
      <c r="U20">
        <v>44</v>
      </c>
      <c r="V20">
        <v>49</v>
      </c>
      <c r="W20">
        <v>43</v>
      </c>
      <c r="X20" s="7"/>
      <c r="Y20">
        <v>43</v>
      </c>
      <c r="Z20" s="14">
        <v>67</v>
      </c>
      <c r="AA20">
        <v>67</v>
      </c>
      <c r="AB20" s="5"/>
      <c r="AC20">
        <v>59</v>
      </c>
      <c r="AD20">
        <v>38</v>
      </c>
      <c r="AE20">
        <v>42</v>
      </c>
      <c r="AF20" s="7"/>
      <c r="AG20">
        <v>38</v>
      </c>
    </row>
    <row r="21" spans="1:33" x14ac:dyDescent="0.25">
      <c r="A21" t="s">
        <v>147</v>
      </c>
      <c r="B21">
        <v>78</v>
      </c>
      <c r="C21">
        <v>77</v>
      </c>
      <c r="D21">
        <v>80</v>
      </c>
      <c r="E21">
        <v>60</v>
      </c>
      <c r="F21">
        <v>63</v>
      </c>
      <c r="G21">
        <v>37</v>
      </c>
      <c r="H21">
        <v>27</v>
      </c>
      <c r="I21">
        <v>28</v>
      </c>
      <c r="J21" s="14">
        <v>20</v>
      </c>
      <c r="K21">
        <v>17</v>
      </c>
      <c r="L21" s="7"/>
      <c r="M21">
        <v>41</v>
      </c>
      <c r="N21">
        <v>27</v>
      </c>
      <c r="O21">
        <v>6</v>
      </c>
      <c r="P21">
        <v>31</v>
      </c>
      <c r="Q21">
        <v>9</v>
      </c>
      <c r="R21" s="14">
        <v>83</v>
      </c>
      <c r="S21">
        <v>87</v>
      </c>
      <c r="T21" s="7"/>
      <c r="U21">
        <v>32</v>
      </c>
      <c r="V21">
        <v>76</v>
      </c>
      <c r="W21">
        <v>88</v>
      </c>
      <c r="X21">
        <v>76</v>
      </c>
      <c r="Y21">
        <v>82</v>
      </c>
      <c r="Z21" s="14">
        <v>62</v>
      </c>
      <c r="AA21">
        <v>92</v>
      </c>
      <c r="AB21">
        <v>96</v>
      </c>
      <c r="AC21">
        <v>83</v>
      </c>
      <c r="AD21">
        <v>55</v>
      </c>
      <c r="AE21">
        <v>87</v>
      </c>
      <c r="AF21" s="7"/>
      <c r="AG21">
        <v>51</v>
      </c>
    </row>
    <row r="22" spans="1:33" x14ac:dyDescent="0.25">
      <c r="A22" t="s">
        <v>155</v>
      </c>
      <c r="B22">
        <v>3</v>
      </c>
      <c r="C22">
        <v>1</v>
      </c>
      <c r="D22">
        <v>17</v>
      </c>
      <c r="E22">
        <v>46</v>
      </c>
      <c r="F22">
        <v>40</v>
      </c>
      <c r="G22">
        <v>53</v>
      </c>
      <c r="H22">
        <v>84</v>
      </c>
      <c r="I22">
        <v>57</v>
      </c>
      <c r="J22" s="14">
        <v>1</v>
      </c>
      <c r="K22">
        <v>11</v>
      </c>
      <c r="L22">
        <v>2</v>
      </c>
      <c r="M22">
        <v>1</v>
      </c>
      <c r="N22">
        <v>2</v>
      </c>
      <c r="O22">
        <v>1</v>
      </c>
      <c r="P22">
        <v>2</v>
      </c>
      <c r="Q22">
        <v>1</v>
      </c>
      <c r="R22" s="14">
        <v>22</v>
      </c>
      <c r="S22">
        <v>19</v>
      </c>
      <c r="T22">
        <v>27</v>
      </c>
      <c r="U22">
        <v>60</v>
      </c>
      <c r="V22">
        <v>82</v>
      </c>
      <c r="W22">
        <v>42</v>
      </c>
      <c r="X22">
        <v>87</v>
      </c>
      <c r="Y22">
        <v>2</v>
      </c>
      <c r="Z22" s="14">
        <v>4</v>
      </c>
      <c r="AA22">
        <v>11</v>
      </c>
      <c r="AB22">
        <v>18</v>
      </c>
      <c r="AC22">
        <v>61</v>
      </c>
      <c r="AD22">
        <v>88</v>
      </c>
      <c r="AE22">
        <v>48</v>
      </c>
      <c r="AF22">
        <v>99</v>
      </c>
      <c r="AG22">
        <v>23</v>
      </c>
    </row>
    <row r="23" spans="1:33" x14ac:dyDescent="0.25">
      <c r="A23" t="s">
        <v>158</v>
      </c>
      <c r="B23">
        <v>58</v>
      </c>
      <c r="C23">
        <v>47</v>
      </c>
      <c r="D23">
        <v>27</v>
      </c>
      <c r="E23">
        <v>69</v>
      </c>
      <c r="F23">
        <v>71</v>
      </c>
      <c r="G23">
        <v>10</v>
      </c>
      <c r="H23">
        <v>72</v>
      </c>
      <c r="I23">
        <v>55</v>
      </c>
      <c r="J23" s="14">
        <v>10</v>
      </c>
      <c r="K23">
        <v>51</v>
      </c>
      <c r="L23" s="7"/>
      <c r="M23">
        <v>47</v>
      </c>
      <c r="N23">
        <v>64</v>
      </c>
      <c r="O23">
        <v>45</v>
      </c>
      <c r="P23">
        <v>63</v>
      </c>
      <c r="Q23">
        <v>7</v>
      </c>
      <c r="R23" s="14">
        <v>66</v>
      </c>
      <c r="S23">
        <v>90</v>
      </c>
      <c r="T23">
        <v>83</v>
      </c>
      <c r="U23">
        <v>90</v>
      </c>
      <c r="V23" s="7"/>
      <c r="W23">
        <v>87</v>
      </c>
      <c r="X23">
        <v>83</v>
      </c>
      <c r="Y23">
        <v>86</v>
      </c>
      <c r="Z23" s="18"/>
      <c r="AA23" s="7"/>
      <c r="AB23">
        <v>90</v>
      </c>
      <c r="AC23" s="7"/>
      <c r="AD23" s="7"/>
      <c r="AE23" s="7"/>
      <c r="AF23">
        <v>85</v>
      </c>
      <c r="AG23">
        <v>91</v>
      </c>
    </row>
    <row r="24" spans="1:33" x14ac:dyDescent="0.25">
      <c r="A24" t="s">
        <v>162</v>
      </c>
      <c r="B24">
        <v>23</v>
      </c>
      <c r="C24">
        <v>22</v>
      </c>
      <c r="D24">
        <v>15</v>
      </c>
      <c r="E24">
        <v>7</v>
      </c>
      <c r="F24">
        <v>12</v>
      </c>
      <c r="G24">
        <v>14</v>
      </c>
      <c r="H24">
        <v>14</v>
      </c>
      <c r="I24">
        <v>12</v>
      </c>
      <c r="J24" s="14">
        <v>29</v>
      </c>
      <c r="K24">
        <v>10</v>
      </c>
      <c r="L24">
        <v>12</v>
      </c>
      <c r="M24">
        <v>12</v>
      </c>
      <c r="N24">
        <v>8</v>
      </c>
      <c r="O24">
        <v>13</v>
      </c>
      <c r="P24">
        <v>5</v>
      </c>
      <c r="Q24">
        <v>12</v>
      </c>
      <c r="R24" s="14">
        <v>30</v>
      </c>
      <c r="S24">
        <v>13</v>
      </c>
      <c r="T24">
        <v>17</v>
      </c>
      <c r="U24">
        <v>13</v>
      </c>
      <c r="V24">
        <v>12</v>
      </c>
      <c r="W24">
        <v>14</v>
      </c>
      <c r="X24">
        <v>35</v>
      </c>
      <c r="Y24">
        <v>10</v>
      </c>
      <c r="Z24" s="14">
        <v>39</v>
      </c>
      <c r="AA24">
        <v>17</v>
      </c>
      <c r="AB24">
        <v>15</v>
      </c>
      <c r="AC24">
        <v>15</v>
      </c>
      <c r="AD24">
        <v>14</v>
      </c>
      <c r="AE24">
        <v>15</v>
      </c>
      <c r="AF24">
        <v>14</v>
      </c>
      <c r="AG24">
        <v>10</v>
      </c>
    </row>
    <row r="25" spans="1:33" x14ac:dyDescent="0.25">
      <c r="A25" t="s">
        <v>160</v>
      </c>
      <c r="B25">
        <v>30</v>
      </c>
      <c r="C25">
        <v>25</v>
      </c>
      <c r="D25">
        <v>27</v>
      </c>
      <c r="E25">
        <v>12</v>
      </c>
      <c r="F25">
        <v>17</v>
      </c>
      <c r="G25">
        <v>12</v>
      </c>
      <c r="H25">
        <v>18</v>
      </c>
      <c r="I25">
        <v>10</v>
      </c>
      <c r="J25" s="14">
        <v>26</v>
      </c>
      <c r="K25">
        <v>39</v>
      </c>
      <c r="L25">
        <v>19</v>
      </c>
      <c r="M25">
        <v>17</v>
      </c>
      <c r="N25">
        <v>28</v>
      </c>
      <c r="O25">
        <v>15</v>
      </c>
      <c r="P25">
        <v>8</v>
      </c>
      <c r="Q25">
        <v>12</v>
      </c>
      <c r="R25" s="14">
        <v>40</v>
      </c>
      <c r="S25">
        <v>49</v>
      </c>
      <c r="T25">
        <v>7</v>
      </c>
      <c r="U25">
        <v>46</v>
      </c>
      <c r="V25">
        <v>27</v>
      </c>
      <c r="W25">
        <v>27</v>
      </c>
      <c r="X25">
        <v>33</v>
      </c>
      <c r="Y25">
        <v>32</v>
      </c>
      <c r="Z25" s="14">
        <v>40</v>
      </c>
      <c r="AA25">
        <v>45</v>
      </c>
      <c r="AB25">
        <v>35</v>
      </c>
      <c r="AC25">
        <v>47</v>
      </c>
      <c r="AD25">
        <v>28</v>
      </c>
      <c r="AE25">
        <v>9</v>
      </c>
      <c r="AF25">
        <v>25</v>
      </c>
      <c r="AG25">
        <v>30</v>
      </c>
    </row>
    <row r="26" spans="1:33" x14ac:dyDescent="0.25">
      <c r="A26" t="s">
        <v>173</v>
      </c>
      <c r="B26">
        <v>27</v>
      </c>
      <c r="C26">
        <v>51</v>
      </c>
      <c r="D26">
        <v>54</v>
      </c>
      <c r="E26">
        <v>56</v>
      </c>
      <c r="F26">
        <v>58</v>
      </c>
      <c r="G26">
        <v>41</v>
      </c>
      <c r="H26">
        <v>59</v>
      </c>
      <c r="I26">
        <v>51</v>
      </c>
      <c r="J26" s="14">
        <v>20</v>
      </c>
      <c r="K26">
        <v>29</v>
      </c>
      <c r="L26">
        <v>42</v>
      </c>
      <c r="M26">
        <v>30</v>
      </c>
      <c r="N26">
        <v>46</v>
      </c>
      <c r="O26">
        <v>35</v>
      </c>
      <c r="P26">
        <v>33</v>
      </c>
      <c r="Q26">
        <v>52</v>
      </c>
      <c r="R26" s="14">
        <v>79</v>
      </c>
      <c r="S26">
        <v>64</v>
      </c>
      <c r="T26">
        <v>72</v>
      </c>
      <c r="U26">
        <v>76</v>
      </c>
      <c r="V26">
        <v>67</v>
      </c>
      <c r="W26">
        <v>73</v>
      </c>
      <c r="X26">
        <v>63</v>
      </c>
      <c r="Y26">
        <v>52</v>
      </c>
      <c r="Z26" s="14">
        <v>78</v>
      </c>
      <c r="AA26">
        <v>76</v>
      </c>
      <c r="AB26">
        <v>72</v>
      </c>
      <c r="AC26">
        <v>73</v>
      </c>
      <c r="AD26">
        <v>53</v>
      </c>
      <c r="AE26">
        <v>72</v>
      </c>
      <c r="AF26">
        <v>71</v>
      </c>
      <c r="AG26">
        <v>77</v>
      </c>
    </row>
    <row r="27" spans="1:33" x14ac:dyDescent="0.25">
      <c r="A27" t="s">
        <v>174</v>
      </c>
      <c r="B27">
        <v>57</v>
      </c>
      <c r="C27">
        <v>48</v>
      </c>
      <c r="D27">
        <v>70</v>
      </c>
      <c r="E27">
        <v>62</v>
      </c>
      <c r="F27">
        <v>48</v>
      </c>
      <c r="G27">
        <v>66</v>
      </c>
      <c r="H27">
        <v>54</v>
      </c>
      <c r="I27">
        <v>53</v>
      </c>
      <c r="J27" s="14">
        <v>48</v>
      </c>
      <c r="K27">
        <v>3</v>
      </c>
      <c r="L27">
        <v>15</v>
      </c>
      <c r="M27">
        <v>14</v>
      </c>
      <c r="N27">
        <v>28</v>
      </c>
      <c r="O27">
        <v>27</v>
      </c>
      <c r="P27">
        <v>15</v>
      </c>
      <c r="Q27">
        <v>16</v>
      </c>
      <c r="R27" s="14">
        <v>70</v>
      </c>
      <c r="S27">
        <v>68</v>
      </c>
      <c r="T27">
        <v>91</v>
      </c>
      <c r="U27">
        <v>66</v>
      </c>
      <c r="V27">
        <v>66</v>
      </c>
      <c r="W27">
        <v>70</v>
      </c>
      <c r="X27">
        <v>81</v>
      </c>
      <c r="Y27">
        <v>66</v>
      </c>
      <c r="Z27" s="14">
        <v>90</v>
      </c>
      <c r="AA27">
        <v>70</v>
      </c>
      <c r="AB27">
        <v>89</v>
      </c>
      <c r="AC27">
        <v>74</v>
      </c>
      <c r="AD27">
        <v>78</v>
      </c>
      <c r="AE27">
        <v>74</v>
      </c>
      <c r="AF27">
        <v>70</v>
      </c>
      <c r="AG27">
        <v>82</v>
      </c>
    </row>
    <row r="28" spans="1:33" x14ac:dyDescent="0.25">
      <c r="A28" t="s">
        <v>175</v>
      </c>
      <c r="B28">
        <v>60</v>
      </c>
      <c r="C28">
        <v>59</v>
      </c>
      <c r="D28">
        <v>51</v>
      </c>
      <c r="E28">
        <v>63</v>
      </c>
      <c r="F28">
        <v>51</v>
      </c>
      <c r="G28">
        <v>61</v>
      </c>
      <c r="H28">
        <v>34</v>
      </c>
      <c r="I28">
        <v>57</v>
      </c>
      <c r="J28" s="14">
        <v>42</v>
      </c>
      <c r="K28">
        <v>44</v>
      </c>
      <c r="L28">
        <v>55</v>
      </c>
      <c r="M28">
        <v>50</v>
      </c>
      <c r="N28">
        <v>51</v>
      </c>
      <c r="O28">
        <v>43</v>
      </c>
      <c r="P28">
        <v>34</v>
      </c>
      <c r="Q28">
        <v>57</v>
      </c>
      <c r="R28" s="14">
        <v>52</v>
      </c>
      <c r="S28">
        <v>47</v>
      </c>
      <c r="T28">
        <v>61</v>
      </c>
      <c r="U28">
        <v>76</v>
      </c>
      <c r="V28">
        <v>64</v>
      </c>
      <c r="W28">
        <v>48</v>
      </c>
      <c r="X28">
        <v>61</v>
      </c>
      <c r="Y28">
        <v>61</v>
      </c>
      <c r="Z28" s="14">
        <v>76</v>
      </c>
      <c r="AA28">
        <v>71</v>
      </c>
      <c r="AB28">
        <v>56</v>
      </c>
      <c r="AC28">
        <v>60</v>
      </c>
      <c r="AD28">
        <v>60</v>
      </c>
      <c r="AE28">
        <v>69</v>
      </c>
      <c r="AF28">
        <v>69</v>
      </c>
      <c r="AG28">
        <v>51</v>
      </c>
    </row>
    <row r="29" spans="1:33" x14ac:dyDescent="0.25">
      <c r="A29" t="s">
        <v>187</v>
      </c>
      <c r="B29">
        <v>35</v>
      </c>
      <c r="C29">
        <v>40</v>
      </c>
      <c r="D29">
        <v>42</v>
      </c>
      <c r="E29">
        <v>36</v>
      </c>
      <c r="F29">
        <v>38</v>
      </c>
      <c r="G29">
        <v>40</v>
      </c>
      <c r="H29">
        <v>37</v>
      </c>
      <c r="I29">
        <v>39</v>
      </c>
      <c r="J29" s="14">
        <v>23</v>
      </c>
      <c r="K29">
        <v>37</v>
      </c>
      <c r="L29">
        <v>33</v>
      </c>
      <c r="M29">
        <v>31</v>
      </c>
      <c r="N29">
        <v>30</v>
      </c>
      <c r="O29">
        <v>45</v>
      </c>
      <c r="P29">
        <v>33</v>
      </c>
      <c r="Q29">
        <v>32</v>
      </c>
      <c r="R29" s="14">
        <v>56</v>
      </c>
      <c r="S29">
        <v>51</v>
      </c>
      <c r="T29">
        <v>37</v>
      </c>
      <c r="U29">
        <v>46</v>
      </c>
      <c r="V29">
        <v>47</v>
      </c>
      <c r="W29">
        <v>37</v>
      </c>
      <c r="X29">
        <v>34</v>
      </c>
      <c r="Y29">
        <v>45</v>
      </c>
      <c r="Z29" s="14">
        <v>42</v>
      </c>
      <c r="AA29">
        <v>42</v>
      </c>
      <c r="AB29">
        <v>52</v>
      </c>
      <c r="AC29">
        <v>48</v>
      </c>
      <c r="AD29">
        <v>46</v>
      </c>
      <c r="AE29">
        <v>34</v>
      </c>
      <c r="AF29">
        <v>48</v>
      </c>
      <c r="AG29">
        <v>33</v>
      </c>
    </row>
    <row r="30" spans="1:33" x14ac:dyDescent="0.25">
      <c r="A30" t="s">
        <v>186</v>
      </c>
      <c r="B30">
        <v>14</v>
      </c>
      <c r="C30">
        <v>25</v>
      </c>
      <c r="D30">
        <v>21</v>
      </c>
      <c r="E30">
        <v>17</v>
      </c>
      <c r="F30">
        <v>3</v>
      </c>
      <c r="G30">
        <v>4</v>
      </c>
      <c r="H30">
        <v>5</v>
      </c>
      <c r="I30">
        <v>3</v>
      </c>
      <c r="J30" s="14">
        <v>5</v>
      </c>
      <c r="K30">
        <v>3</v>
      </c>
      <c r="L30">
        <v>3</v>
      </c>
      <c r="M30">
        <v>2</v>
      </c>
      <c r="N30">
        <v>33</v>
      </c>
      <c r="O30">
        <v>3</v>
      </c>
      <c r="P30">
        <v>11</v>
      </c>
      <c r="Q30">
        <v>4</v>
      </c>
      <c r="R30" s="14">
        <v>48</v>
      </c>
      <c r="S30">
        <v>74</v>
      </c>
      <c r="T30">
        <v>57</v>
      </c>
      <c r="U30">
        <v>30</v>
      </c>
      <c r="V30">
        <v>54</v>
      </c>
      <c r="W30">
        <v>29</v>
      </c>
      <c r="X30">
        <v>31</v>
      </c>
      <c r="Y30">
        <v>35</v>
      </c>
      <c r="Z30" s="14">
        <v>75</v>
      </c>
      <c r="AA30">
        <v>75</v>
      </c>
      <c r="AB30">
        <v>57</v>
      </c>
      <c r="AC30">
        <v>42</v>
      </c>
      <c r="AD30">
        <v>61</v>
      </c>
      <c r="AE30">
        <v>45</v>
      </c>
      <c r="AF30">
        <v>3</v>
      </c>
      <c r="AG30">
        <v>28</v>
      </c>
    </row>
    <row r="32" spans="1:33" s="25" customFormat="1" x14ac:dyDescent="0.25">
      <c r="A32" s="25" t="s">
        <v>1</v>
      </c>
      <c r="J32" s="31"/>
      <c r="R32" s="31"/>
      <c r="Z32" s="31"/>
    </row>
    <row r="33" spans="1:33" x14ac:dyDescent="0.25">
      <c r="A33" t="s">
        <v>3</v>
      </c>
      <c r="B33">
        <v>47</v>
      </c>
      <c r="C33">
        <v>20</v>
      </c>
      <c r="D33">
        <v>46</v>
      </c>
      <c r="E33">
        <v>49</v>
      </c>
      <c r="F33">
        <v>44</v>
      </c>
      <c r="G33">
        <v>46</v>
      </c>
      <c r="H33">
        <v>47</v>
      </c>
      <c r="I33">
        <v>28</v>
      </c>
      <c r="J33" s="18"/>
      <c r="K33" s="7"/>
      <c r="L33" s="7"/>
      <c r="M33" s="7"/>
      <c r="N33" s="7"/>
      <c r="O33" s="7"/>
      <c r="P33" s="7"/>
      <c r="Q33" s="7"/>
      <c r="R33" s="14">
        <v>67</v>
      </c>
      <c r="S33">
        <v>67</v>
      </c>
      <c r="T33">
        <v>65</v>
      </c>
      <c r="U33">
        <v>69</v>
      </c>
      <c r="V33">
        <v>67</v>
      </c>
      <c r="X33">
        <v>69</v>
      </c>
      <c r="Y33">
        <v>54</v>
      </c>
      <c r="Z33" s="14">
        <v>30</v>
      </c>
      <c r="AA33">
        <v>61</v>
      </c>
      <c r="AB33">
        <v>77</v>
      </c>
      <c r="AC33">
        <v>69</v>
      </c>
      <c r="AD33">
        <v>53</v>
      </c>
      <c r="AE33">
        <v>39</v>
      </c>
      <c r="AF33">
        <v>80</v>
      </c>
      <c r="AG33">
        <v>41</v>
      </c>
    </row>
    <row r="34" spans="1:33" x14ac:dyDescent="0.25">
      <c r="A34" t="s">
        <v>13</v>
      </c>
      <c r="B34">
        <v>2</v>
      </c>
      <c r="C34">
        <v>4</v>
      </c>
      <c r="D34">
        <v>3</v>
      </c>
      <c r="E34">
        <v>1</v>
      </c>
      <c r="F34">
        <v>2</v>
      </c>
      <c r="G34">
        <v>2</v>
      </c>
      <c r="H34">
        <v>1</v>
      </c>
      <c r="I34">
        <v>2</v>
      </c>
      <c r="J34" s="18"/>
      <c r="K34" s="7"/>
      <c r="L34" s="7"/>
      <c r="M34" s="7"/>
      <c r="N34" s="7"/>
      <c r="O34" s="7"/>
      <c r="P34" s="7"/>
      <c r="Q34" s="7"/>
      <c r="R34" s="14">
        <v>23</v>
      </c>
      <c r="S34">
        <v>34</v>
      </c>
      <c r="T34">
        <v>54</v>
      </c>
      <c r="U34">
        <v>4</v>
      </c>
      <c r="V34">
        <v>34</v>
      </c>
      <c r="W34">
        <v>51</v>
      </c>
      <c r="X34">
        <v>34</v>
      </c>
      <c r="Y34">
        <v>49</v>
      </c>
      <c r="Z34" s="14">
        <v>47</v>
      </c>
      <c r="AA34">
        <v>60</v>
      </c>
      <c r="AB34">
        <v>68</v>
      </c>
      <c r="AC34">
        <v>62</v>
      </c>
      <c r="AD34">
        <v>4</v>
      </c>
      <c r="AE34">
        <v>58</v>
      </c>
      <c r="AF34">
        <v>63</v>
      </c>
      <c r="AG34">
        <v>60</v>
      </c>
    </row>
    <row r="35" spans="1:33" x14ac:dyDescent="0.25">
      <c r="A35" t="s">
        <v>68</v>
      </c>
      <c r="B35">
        <v>45</v>
      </c>
      <c r="C35">
        <v>68</v>
      </c>
      <c r="D35">
        <v>41</v>
      </c>
      <c r="E35">
        <v>45</v>
      </c>
      <c r="F35">
        <v>47</v>
      </c>
      <c r="G35">
        <v>7</v>
      </c>
      <c r="H35">
        <v>78</v>
      </c>
      <c r="I35">
        <v>41</v>
      </c>
      <c r="J35" s="18"/>
      <c r="K35" s="7"/>
      <c r="L35" s="7"/>
      <c r="M35" s="7"/>
      <c r="N35" s="7"/>
      <c r="O35" s="7"/>
      <c r="P35" s="7"/>
      <c r="Q35" s="7"/>
      <c r="R35" s="14">
        <v>56</v>
      </c>
      <c r="S35">
        <v>51</v>
      </c>
      <c r="T35">
        <v>43</v>
      </c>
      <c r="U35">
        <v>75</v>
      </c>
      <c r="V35">
        <v>73</v>
      </c>
      <c r="W35">
        <v>73</v>
      </c>
      <c r="X35">
        <v>47</v>
      </c>
      <c r="Y35">
        <v>50</v>
      </c>
      <c r="Z35" s="14">
        <v>19</v>
      </c>
      <c r="AA35">
        <v>76</v>
      </c>
      <c r="AB35">
        <v>49</v>
      </c>
      <c r="AC35">
        <v>45</v>
      </c>
      <c r="AD35">
        <v>74</v>
      </c>
      <c r="AE35">
        <v>82</v>
      </c>
      <c r="AF35">
        <v>81</v>
      </c>
      <c r="AG35">
        <v>80</v>
      </c>
    </row>
    <row r="36" spans="1:33" x14ac:dyDescent="0.25">
      <c r="A36" t="s">
        <v>69</v>
      </c>
      <c r="B36">
        <v>55</v>
      </c>
      <c r="C36">
        <v>60</v>
      </c>
      <c r="D36">
        <v>86</v>
      </c>
      <c r="E36">
        <v>97</v>
      </c>
      <c r="F36">
        <v>56</v>
      </c>
      <c r="G36">
        <v>70</v>
      </c>
      <c r="H36">
        <v>77</v>
      </c>
      <c r="I36">
        <v>95</v>
      </c>
      <c r="J36" s="14">
        <v>66</v>
      </c>
      <c r="K36">
        <v>67</v>
      </c>
      <c r="L36">
        <v>81</v>
      </c>
      <c r="M36">
        <v>75</v>
      </c>
      <c r="N36">
        <v>49</v>
      </c>
      <c r="O36">
        <v>53</v>
      </c>
      <c r="P36">
        <v>43</v>
      </c>
      <c r="Q36">
        <v>50</v>
      </c>
      <c r="R36" s="14">
        <v>86</v>
      </c>
      <c r="S36">
        <v>95</v>
      </c>
      <c r="T36">
        <v>90</v>
      </c>
      <c r="U36">
        <v>95</v>
      </c>
      <c r="V36">
        <v>90</v>
      </c>
      <c r="W36">
        <v>93</v>
      </c>
      <c r="X36">
        <v>61</v>
      </c>
      <c r="Y36">
        <v>83</v>
      </c>
      <c r="Z36" s="14">
        <v>91</v>
      </c>
      <c r="AA36">
        <v>94</v>
      </c>
      <c r="AB36">
        <v>98</v>
      </c>
      <c r="AC36">
        <v>79</v>
      </c>
      <c r="AD36">
        <v>80</v>
      </c>
      <c r="AE36">
        <v>81</v>
      </c>
      <c r="AF36">
        <v>92</v>
      </c>
      <c r="AG36">
        <v>85</v>
      </c>
    </row>
    <row r="37" spans="1:33" x14ac:dyDescent="0.25">
      <c r="A37" t="s">
        <v>70</v>
      </c>
      <c r="B37">
        <v>62</v>
      </c>
      <c r="C37">
        <v>71</v>
      </c>
      <c r="D37">
        <v>70</v>
      </c>
      <c r="E37">
        <v>55</v>
      </c>
      <c r="F37">
        <v>41</v>
      </c>
      <c r="G37">
        <v>67</v>
      </c>
      <c r="H37">
        <v>28</v>
      </c>
      <c r="I37">
        <v>62</v>
      </c>
      <c r="J37" s="14">
        <v>89</v>
      </c>
      <c r="K37">
        <v>86</v>
      </c>
      <c r="L37">
        <v>67</v>
      </c>
      <c r="M37">
        <v>83</v>
      </c>
      <c r="N37">
        <v>42</v>
      </c>
      <c r="O37">
        <v>62</v>
      </c>
      <c r="P37">
        <v>58</v>
      </c>
      <c r="Q37">
        <v>66</v>
      </c>
      <c r="R37" s="14">
        <v>90</v>
      </c>
      <c r="S37">
        <v>98</v>
      </c>
      <c r="T37">
        <v>85</v>
      </c>
      <c r="U37">
        <v>87</v>
      </c>
      <c r="V37">
        <v>94</v>
      </c>
      <c r="W37">
        <v>63</v>
      </c>
      <c r="X37">
        <v>86</v>
      </c>
      <c r="Y37">
        <v>87</v>
      </c>
      <c r="Z37" s="14">
        <v>89</v>
      </c>
      <c r="AA37">
        <v>96</v>
      </c>
      <c r="AB37">
        <v>93</v>
      </c>
      <c r="AC37">
        <v>90</v>
      </c>
      <c r="AD37">
        <v>43</v>
      </c>
      <c r="AE37">
        <v>89</v>
      </c>
      <c r="AF37">
        <v>1</v>
      </c>
      <c r="AG37">
        <v>81</v>
      </c>
    </row>
    <row r="38" spans="1:33" x14ac:dyDescent="0.25">
      <c r="A38" t="s">
        <v>74</v>
      </c>
      <c r="B38">
        <v>67</v>
      </c>
      <c r="C38">
        <v>71</v>
      </c>
      <c r="D38">
        <v>62</v>
      </c>
      <c r="E38">
        <v>60</v>
      </c>
      <c r="F38">
        <v>57</v>
      </c>
      <c r="G38">
        <v>67</v>
      </c>
      <c r="H38">
        <v>53</v>
      </c>
      <c r="I38">
        <v>64</v>
      </c>
      <c r="J38" s="14">
        <v>49</v>
      </c>
      <c r="K38">
        <v>51</v>
      </c>
      <c r="L38">
        <v>50</v>
      </c>
      <c r="M38">
        <v>53</v>
      </c>
      <c r="N38">
        <v>61</v>
      </c>
      <c r="O38">
        <v>53</v>
      </c>
      <c r="P38">
        <v>52</v>
      </c>
      <c r="Q38">
        <v>53</v>
      </c>
      <c r="R38" s="14">
        <v>74</v>
      </c>
      <c r="S38">
        <v>73</v>
      </c>
      <c r="T38">
        <v>79</v>
      </c>
      <c r="U38">
        <v>78</v>
      </c>
      <c r="V38">
        <v>75</v>
      </c>
      <c r="W38">
        <v>65</v>
      </c>
      <c r="X38">
        <v>67</v>
      </c>
      <c r="Y38">
        <v>63</v>
      </c>
      <c r="Z38" s="14">
        <v>86</v>
      </c>
      <c r="AA38">
        <v>83</v>
      </c>
      <c r="AB38">
        <v>69</v>
      </c>
      <c r="AC38">
        <v>61</v>
      </c>
      <c r="AD38">
        <v>54</v>
      </c>
      <c r="AE38">
        <v>67</v>
      </c>
      <c r="AF38">
        <v>70</v>
      </c>
      <c r="AG38">
        <v>69</v>
      </c>
    </row>
    <row r="39" spans="1:33" x14ac:dyDescent="0.25">
      <c r="A39" t="s">
        <v>79</v>
      </c>
      <c r="B39">
        <v>51</v>
      </c>
      <c r="C39">
        <v>50</v>
      </c>
      <c r="D39">
        <v>74</v>
      </c>
      <c r="E39">
        <v>88</v>
      </c>
      <c r="F39">
        <v>83</v>
      </c>
      <c r="G39">
        <v>81</v>
      </c>
      <c r="H39">
        <v>76</v>
      </c>
      <c r="I39">
        <v>84</v>
      </c>
      <c r="J39" s="14">
        <v>14</v>
      </c>
      <c r="K39">
        <v>18</v>
      </c>
      <c r="L39">
        <v>51</v>
      </c>
      <c r="M39">
        <v>26</v>
      </c>
      <c r="N39">
        <v>38</v>
      </c>
      <c r="O39">
        <v>12</v>
      </c>
      <c r="P39">
        <v>22</v>
      </c>
      <c r="Q39">
        <v>37</v>
      </c>
      <c r="R39" s="14">
        <v>98</v>
      </c>
      <c r="S39">
        <v>90</v>
      </c>
      <c r="T39">
        <v>100</v>
      </c>
      <c r="U39">
        <v>96</v>
      </c>
      <c r="V39">
        <v>98</v>
      </c>
      <c r="W39">
        <v>67</v>
      </c>
      <c r="X39">
        <v>98</v>
      </c>
      <c r="Y39">
        <v>99</v>
      </c>
      <c r="Z39" s="14">
        <v>97</v>
      </c>
      <c r="AA39">
        <v>95</v>
      </c>
      <c r="AB39">
        <v>96</v>
      </c>
      <c r="AC39">
        <v>99</v>
      </c>
      <c r="AD39">
        <v>94</v>
      </c>
      <c r="AE39">
        <v>98</v>
      </c>
      <c r="AF39">
        <v>96</v>
      </c>
      <c r="AG39">
        <v>98</v>
      </c>
    </row>
    <row r="40" spans="1:33" x14ac:dyDescent="0.25">
      <c r="A40" t="s">
        <v>80</v>
      </c>
      <c r="B40">
        <v>64</v>
      </c>
      <c r="C40">
        <v>77</v>
      </c>
      <c r="D40">
        <v>27</v>
      </c>
      <c r="E40">
        <v>64</v>
      </c>
      <c r="F40">
        <v>57</v>
      </c>
      <c r="G40">
        <v>52</v>
      </c>
      <c r="H40">
        <v>33</v>
      </c>
      <c r="I40">
        <v>30</v>
      </c>
      <c r="J40" s="14">
        <v>18</v>
      </c>
      <c r="K40">
        <v>25</v>
      </c>
      <c r="L40">
        <v>13</v>
      </c>
      <c r="M40">
        <v>46</v>
      </c>
      <c r="N40">
        <v>19</v>
      </c>
      <c r="O40">
        <v>1</v>
      </c>
      <c r="P40">
        <v>16</v>
      </c>
      <c r="Q40">
        <v>40</v>
      </c>
      <c r="R40" s="14">
        <v>2</v>
      </c>
      <c r="S40">
        <v>77</v>
      </c>
      <c r="T40">
        <v>39</v>
      </c>
      <c r="U40">
        <v>80</v>
      </c>
      <c r="V40">
        <v>57</v>
      </c>
      <c r="W40">
        <v>79</v>
      </c>
      <c r="X40">
        <v>28</v>
      </c>
      <c r="Y40">
        <v>43</v>
      </c>
      <c r="Z40" s="14">
        <v>63</v>
      </c>
      <c r="AA40">
        <v>73</v>
      </c>
      <c r="AB40">
        <v>79</v>
      </c>
      <c r="AC40">
        <v>77</v>
      </c>
      <c r="AD40">
        <v>60</v>
      </c>
      <c r="AE40">
        <v>16</v>
      </c>
      <c r="AF40">
        <v>47</v>
      </c>
      <c r="AG40">
        <v>74</v>
      </c>
    </row>
    <row r="41" spans="1:33" x14ac:dyDescent="0.25">
      <c r="A41" t="s">
        <v>86</v>
      </c>
      <c r="B41">
        <v>2</v>
      </c>
      <c r="C41">
        <v>28</v>
      </c>
      <c r="D41">
        <v>41</v>
      </c>
      <c r="E41">
        <v>30</v>
      </c>
      <c r="F41">
        <v>34</v>
      </c>
      <c r="G41">
        <v>27</v>
      </c>
      <c r="H41">
        <v>29</v>
      </c>
      <c r="I41">
        <v>28</v>
      </c>
      <c r="J41" s="14">
        <v>67</v>
      </c>
      <c r="K41">
        <v>35</v>
      </c>
      <c r="L41">
        <v>47</v>
      </c>
      <c r="M41">
        <v>16</v>
      </c>
      <c r="N41">
        <v>33</v>
      </c>
      <c r="O41">
        <v>22</v>
      </c>
      <c r="P41">
        <v>22</v>
      </c>
      <c r="Q41">
        <v>23</v>
      </c>
      <c r="R41" s="14">
        <v>56</v>
      </c>
      <c r="S41">
        <v>39</v>
      </c>
      <c r="T41">
        <v>59</v>
      </c>
      <c r="U41">
        <v>25</v>
      </c>
      <c r="V41">
        <v>14</v>
      </c>
      <c r="W41">
        <v>26</v>
      </c>
      <c r="X41">
        <v>41</v>
      </c>
      <c r="Y41">
        <v>32</v>
      </c>
      <c r="Z41" s="14">
        <v>41</v>
      </c>
      <c r="AA41">
        <v>33</v>
      </c>
      <c r="AB41">
        <v>27</v>
      </c>
      <c r="AC41">
        <v>32</v>
      </c>
      <c r="AD41">
        <v>20</v>
      </c>
      <c r="AE41">
        <v>13</v>
      </c>
      <c r="AF41">
        <v>34</v>
      </c>
      <c r="AG41">
        <v>49</v>
      </c>
    </row>
    <row r="42" spans="1:33" x14ac:dyDescent="0.25">
      <c r="A42" t="s">
        <v>92</v>
      </c>
      <c r="B42">
        <v>23</v>
      </c>
      <c r="C42">
        <v>46</v>
      </c>
      <c r="D42">
        <v>20</v>
      </c>
      <c r="E42">
        <v>32</v>
      </c>
      <c r="F42">
        <v>24</v>
      </c>
      <c r="G42">
        <v>17</v>
      </c>
      <c r="H42">
        <v>43</v>
      </c>
      <c r="I42">
        <v>11</v>
      </c>
      <c r="J42" s="14">
        <v>7</v>
      </c>
      <c r="K42">
        <v>49</v>
      </c>
      <c r="L42">
        <v>41</v>
      </c>
      <c r="M42">
        <v>17</v>
      </c>
      <c r="N42">
        <v>31</v>
      </c>
      <c r="O42">
        <v>52</v>
      </c>
      <c r="P42">
        <v>49</v>
      </c>
      <c r="Q42">
        <v>24</v>
      </c>
      <c r="R42" s="14">
        <v>55</v>
      </c>
      <c r="S42">
        <v>50</v>
      </c>
      <c r="T42">
        <v>48</v>
      </c>
      <c r="U42">
        <v>47</v>
      </c>
      <c r="V42">
        <v>21</v>
      </c>
      <c r="W42">
        <v>58</v>
      </c>
      <c r="X42">
        <v>23</v>
      </c>
      <c r="Y42">
        <v>37</v>
      </c>
      <c r="Z42" s="14">
        <v>50</v>
      </c>
      <c r="AA42">
        <v>12</v>
      </c>
      <c r="AB42">
        <v>20</v>
      </c>
      <c r="AC42">
        <v>36</v>
      </c>
      <c r="AD42">
        <v>2</v>
      </c>
      <c r="AE42">
        <v>53</v>
      </c>
      <c r="AF42">
        <v>9</v>
      </c>
      <c r="AG42">
        <v>9</v>
      </c>
    </row>
    <row r="43" spans="1:33" x14ac:dyDescent="0.25">
      <c r="A43" t="s">
        <v>93</v>
      </c>
      <c r="B43">
        <v>82</v>
      </c>
      <c r="C43">
        <v>84</v>
      </c>
      <c r="D43">
        <v>83</v>
      </c>
      <c r="E43">
        <v>85</v>
      </c>
      <c r="F43">
        <v>80</v>
      </c>
      <c r="G43">
        <v>55</v>
      </c>
      <c r="H43">
        <v>76</v>
      </c>
      <c r="I43">
        <v>80</v>
      </c>
      <c r="J43" s="14">
        <v>78</v>
      </c>
      <c r="K43">
        <v>90</v>
      </c>
      <c r="L43">
        <v>86</v>
      </c>
      <c r="M43">
        <v>87</v>
      </c>
      <c r="N43">
        <v>69</v>
      </c>
      <c r="O43">
        <v>79</v>
      </c>
      <c r="P43">
        <v>86</v>
      </c>
      <c r="Q43">
        <v>91</v>
      </c>
      <c r="R43" s="14">
        <v>81</v>
      </c>
      <c r="S43">
        <v>91</v>
      </c>
      <c r="T43">
        <v>88</v>
      </c>
      <c r="U43">
        <v>83</v>
      </c>
      <c r="V43">
        <v>88</v>
      </c>
      <c r="W43">
        <v>87</v>
      </c>
      <c r="X43">
        <v>87</v>
      </c>
      <c r="Y43">
        <v>93</v>
      </c>
      <c r="Z43" s="14">
        <v>86</v>
      </c>
      <c r="AA43">
        <v>80</v>
      </c>
      <c r="AB43">
        <v>86</v>
      </c>
      <c r="AC43">
        <v>88</v>
      </c>
      <c r="AD43">
        <v>82</v>
      </c>
      <c r="AE43">
        <v>89</v>
      </c>
      <c r="AF43">
        <v>86</v>
      </c>
      <c r="AG43">
        <v>94</v>
      </c>
    </row>
    <row r="44" spans="1:33" x14ac:dyDescent="0.25">
      <c r="A44" t="s">
        <v>110</v>
      </c>
      <c r="B44">
        <v>100</v>
      </c>
      <c r="C44">
        <v>98</v>
      </c>
      <c r="D44">
        <v>68</v>
      </c>
      <c r="E44">
        <v>76</v>
      </c>
      <c r="F44">
        <v>98</v>
      </c>
      <c r="G44">
        <v>88</v>
      </c>
      <c r="H44">
        <v>99</v>
      </c>
      <c r="I44">
        <v>74</v>
      </c>
      <c r="J44" s="14">
        <v>38</v>
      </c>
      <c r="K44">
        <v>27</v>
      </c>
      <c r="L44">
        <v>26</v>
      </c>
      <c r="M44">
        <v>8</v>
      </c>
      <c r="N44">
        <v>23</v>
      </c>
      <c r="O44">
        <v>16</v>
      </c>
      <c r="P44">
        <v>12</v>
      </c>
      <c r="Q44">
        <v>11</v>
      </c>
      <c r="R44" s="14">
        <v>100</v>
      </c>
      <c r="S44">
        <v>100</v>
      </c>
      <c r="T44">
        <v>89</v>
      </c>
      <c r="U44">
        <v>98</v>
      </c>
      <c r="V44">
        <v>100</v>
      </c>
      <c r="W44">
        <v>100</v>
      </c>
      <c r="X44">
        <v>99</v>
      </c>
      <c r="Y44">
        <v>100</v>
      </c>
      <c r="Z44" s="14">
        <v>100</v>
      </c>
      <c r="AA44">
        <v>100</v>
      </c>
      <c r="AB44">
        <v>94</v>
      </c>
      <c r="AC44">
        <v>99</v>
      </c>
      <c r="AD44">
        <v>100</v>
      </c>
      <c r="AE44">
        <v>100</v>
      </c>
      <c r="AF44">
        <v>100</v>
      </c>
      <c r="AG44">
        <v>100</v>
      </c>
    </row>
    <row r="45" spans="1:33" x14ac:dyDescent="0.25">
      <c r="A45" t="s">
        <v>120</v>
      </c>
      <c r="B45">
        <v>29</v>
      </c>
      <c r="C45">
        <v>33</v>
      </c>
      <c r="D45">
        <v>31</v>
      </c>
      <c r="E45" s="7"/>
      <c r="F45">
        <v>49</v>
      </c>
      <c r="G45">
        <v>42</v>
      </c>
      <c r="H45">
        <v>20</v>
      </c>
      <c r="I45">
        <v>12</v>
      </c>
      <c r="J45" s="14">
        <v>15</v>
      </c>
      <c r="K45">
        <v>14</v>
      </c>
      <c r="L45">
        <v>4</v>
      </c>
      <c r="M45" s="7"/>
      <c r="N45">
        <v>11</v>
      </c>
      <c r="O45">
        <v>17</v>
      </c>
      <c r="P45">
        <v>20</v>
      </c>
      <c r="Q45">
        <v>7</v>
      </c>
      <c r="R45" s="14">
        <v>35</v>
      </c>
      <c r="S45">
        <v>33</v>
      </c>
      <c r="T45">
        <v>49</v>
      </c>
      <c r="U45" s="7"/>
      <c r="V45">
        <v>44</v>
      </c>
      <c r="W45">
        <v>17</v>
      </c>
      <c r="X45">
        <v>38</v>
      </c>
      <c r="Y45">
        <v>36</v>
      </c>
      <c r="Z45" s="14">
        <v>60</v>
      </c>
      <c r="AA45">
        <v>45</v>
      </c>
      <c r="AB45">
        <v>48</v>
      </c>
      <c r="AC45" s="7"/>
      <c r="AD45">
        <v>55</v>
      </c>
      <c r="AE45">
        <v>38</v>
      </c>
      <c r="AF45">
        <v>23</v>
      </c>
      <c r="AG45">
        <v>77</v>
      </c>
    </row>
    <row r="46" spans="1:33" x14ac:dyDescent="0.25">
      <c r="A46" t="s">
        <v>125</v>
      </c>
      <c r="B46">
        <v>35</v>
      </c>
      <c r="C46">
        <v>52</v>
      </c>
      <c r="D46">
        <v>49</v>
      </c>
      <c r="E46">
        <v>57</v>
      </c>
      <c r="F46">
        <v>52</v>
      </c>
      <c r="G46">
        <v>59</v>
      </c>
      <c r="H46">
        <v>71</v>
      </c>
      <c r="I46">
        <v>67</v>
      </c>
      <c r="J46" s="14">
        <v>27</v>
      </c>
      <c r="K46">
        <v>27</v>
      </c>
      <c r="L46">
        <v>30</v>
      </c>
      <c r="M46">
        <v>43</v>
      </c>
      <c r="N46">
        <v>53</v>
      </c>
      <c r="O46">
        <v>42</v>
      </c>
      <c r="P46">
        <v>38</v>
      </c>
      <c r="Q46">
        <v>34</v>
      </c>
      <c r="R46" s="14">
        <v>64</v>
      </c>
      <c r="S46">
        <v>81</v>
      </c>
      <c r="T46">
        <v>73</v>
      </c>
      <c r="U46">
        <v>83</v>
      </c>
      <c r="V46">
        <v>73</v>
      </c>
      <c r="W46">
        <v>81</v>
      </c>
      <c r="X46">
        <v>70</v>
      </c>
      <c r="Y46">
        <v>83</v>
      </c>
      <c r="Z46" s="14">
        <v>88</v>
      </c>
      <c r="AA46">
        <v>87</v>
      </c>
      <c r="AB46">
        <v>80</v>
      </c>
      <c r="AC46">
        <v>88</v>
      </c>
      <c r="AD46">
        <v>74</v>
      </c>
      <c r="AE46">
        <v>76</v>
      </c>
      <c r="AF46">
        <v>80</v>
      </c>
      <c r="AG46">
        <v>46</v>
      </c>
    </row>
    <row r="47" spans="1:33" x14ac:dyDescent="0.25">
      <c r="A47" t="s">
        <v>130</v>
      </c>
      <c r="B47">
        <v>22</v>
      </c>
      <c r="C47">
        <v>15</v>
      </c>
      <c r="D47">
        <v>25</v>
      </c>
      <c r="E47">
        <v>11</v>
      </c>
      <c r="F47">
        <v>17</v>
      </c>
      <c r="G47">
        <v>8</v>
      </c>
      <c r="H47">
        <v>12</v>
      </c>
      <c r="I47">
        <v>6</v>
      </c>
      <c r="J47" s="14">
        <v>3</v>
      </c>
      <c r="K47">
        <v>15</v>
      </c>
      <c r="L47">
        <v>17</v>
      </c>
      <c r="M47">
        <v>13</v>
      </c>
      <c r="N47">
        <v>11</v>
      </c>
      <c r="O47">
        <v>10</v>
      </c>
      <c r="P47">
        <v>8</v>
      </c>
      <c r="Q47">
        <v>10</v>
      </c>
      <c r="R47" s="14">
        <v>22</v>
      </c>
      <c r="S47">
        <v>18</v>
      </c>
      <c r="T47">
        <v>25</v>
      </c>
      <c r="U47">
        <v>24</v>
      </c>
      <c r="V47">
        <v>13</v>
      </c>
      <c r="W47">
        <v>17</v>
      </c>
      <c r="X47">
        <v>12</v>
      </c>
      <c r="Y47">
        <v>7</v>
      </c>
      <c r="Z47" s="14">
        <v>22</v>
      </c>
      <c r="AA47">
        <v>20</v>
      </c>
      <c r="AB47">
        <v>15</v>
      </c>
      <c r="AC47">
        <v>16</v>
      </c>
      <c r="AD47">
        <v>31</v>
      </c>
      <c r="AE47">
        <v>10</v>
      </c>
      <c r="AF47">
        <v>16</v>
      </c>
      <c r="AG47">
        <v>11</v>
      </c>
    </row>
    <row r="48" spans="1:33" x14ac:dyDescent="0.25">
      <c r="A48" t="s">
        <v>145</v>
      </c>
      <c r="B48">
        <v>59</v>
      </c>
      <c r="C48">
        <v>65</v>
      </c>
      <c r="D48">
        <v>88</v>
      </c>
      <c r="E48">
        <v>65</v>
      </c>
      <c r="F48">
        <v>56</v>
      </c>
      <c r="G48">
        <v>74</v>
      </c>
      <c r="H48">
        <v>81</v>
      </c>
      <c r="I48">
        <v>68</v>
      </c>
      <c r="J48" s="14">
        <v>25</v>
      </c>
      <c r="K48">
        <v>81</v>
      </c>
      <c r="L48">
        <v>29</v>
      </c>
      <c r="M48">
        <v>14</v>
      </c>
      <c r="N48">
        <v>12</v>
      </c>
      <c r="O48">
        <v>18</v>
      </c>
      <c r="P48">
        <v>41</v>
      </c>
      <c r="Q48">
        <v>13</v>
      </c>
      <c r="R48" s="14">
        <v>71</v>
      </c>
      <c r="S48" s="5"/>
      <c r="T48">
        <v>83</v>
      </c>
      <c r="U48">
        <v>84</v>
      </c>
      <c r="V48">
        <v>65</v>
      </c>
      <c r="W48">
        <v>78</v>
      </c>
      <c r="X48">
        <v>65</v>
      </c>
      <c r="Y48">
        <v>82</v>
      </c>
      <c r="Z48" s="14">
        <v>89</v>
      </c>
      <c r="AA48" s="5"/>
      <c r="AB48">
        <v>62</v>
      </c>
      <c r="AC48">
        <v>64</v>
      </c>
      <c r="AD48">
        <v>79</v>
      </c>
      <c r="AE48">
        <v>94</v>
      </c>
      <c r="AF48">
        <v>90</v>
      </c>
      <c r="AG48">
        <v>62</v>
      </c>
    </row>
    <row r="49" spans="1:39" x14ac:dyDescent="0.25">
      <c r="A49" t="s">
        <v>144</v>
      </c>
      <c r="B49">
        <v>61</v>
      </c>
      <c r="C49">
        <v>59</v>
      </c>
      <c r="D49">
        <v>35</v>
      </c>
      <c r="E49">
        <v>33</v>
      </c>
      <c r="F49">
        <v>45</v>
      </c>
      <c r="G49">
        <v>47</v>
      </c>
      <c r="H49">
        <v>41</v>
      </c>
      <c r="I49">
        <v>26</v>
      </c>
      <c r="J49" s="14">
        <v>32</v>
      </c>
      <c r="K49">
        <v>32</v>
      </c>
      <c r="L49">
        <v>30</v>
      </c>
      <c r="M49">
        <v>36</v>
      </c>
      <c r="N49">
        <v>38</v>
      </c>
      <c r="O49">
        <v>25</v>
      </c>
      <c r="P49">
        <v>45</v>
      </c>
      <c r="Q49">
        <v>50</v>
      </c>
      <c r="R49" s="14">
        <v>56</v>
      </c>
      <c r="S49">
        <v>31</v>
      </c>
      <c r="T49">
        <v>48</v>
      </c>
      <c r="U49">
        <v>23</v>
      </c>
      <c r="V49">
        <v>68</v>
      </c>
      <c r="W49">
        <v>55</v>
      </c>
      <c r="X49">
        <v>51</v>
      </c>
      <c r="Y49">
        <v>52</v>
      </c>
      <c r="Z49" s="14">
        <v>70</v>
      </c>
      <c r="AA49">
        <v>72</v>
      </c>
      <c r="AB49">
        <v>69</v>
      </c>
      <c r="AC49">
        <v>55</v>
      </c>
      <c r="AD49">
        <v>77</v>
      </c>
      <c r="AE49">
        <v>69</v>
      </c>
      <c r="AF49">
        <v>67</v>
      </c>
      <c r="AG49">
        <v>77</v>
      </c>
    </row>
    <row r="50" spans="1:39" x14ac:dyDescent="0.25">
      <c r="A50" t="s">
        <v>132</v>
      </c>
      <c r="B50">
        <v>79</v>
      </c>
      <c r="C50">
        <v>72</v>
      </c>
      <c r="D50">
        <v>50</v>
      </c>
      <c r="E50">
        <v>76</v>
      </c>
      <c r="F50">
        <v>69</v>
      </c>
      <c r="G50">
        <v>58</v>
      </c>
      <c r="H50">
        <v>38</v>
      </c>
      <c r="I50">
        <v>42</v>
      </c>
      <c r="J50" s="14">
        <v>75</v>
      </c>
      <c r="K50">
        <v>66</v>
      </c>
      <c r="L50">
        <v>25</v>
      </c>
      <c r="M50">
        <v>61</v>
      </c>
      <c r="N50">
        <v>51</v>
      </c>
      <c r="O50">
        <v>75</v>
      </c>
      <c r="P50">
        <v>52</v>
      </c>
      <c r="Q50">
        <v>67</v>
      </c>
      <c r="R50" s="14">
        <v>85</v>
      </c>
      <c r="S50">
        <v>72</v>
      </c>
      <c r="T50">
        <v>73</v>
      </c>
      <c r="U50">
        <v>78</v>
      </c>
      <c r="V50">
        <v>69</v>
      </c>
      <c r="W50">
        <v>82</v>
      </c>
      <c r="X50">
        <v>68</v>
      </c>
      <c r="Y50">
        <v>33</v>
      </c>
      <c r="Z50" s="14">
        <v>73</v>
      </c>
      <c r="AA50">
        <v>83</v>
      </c>
      <c r="AB50">
        <v>76</v>
      </c>
      <c r="AC50">
        <v>79</v>
      </c>
      <c r="AD50">
        <v>68</v>
      </c>
      <c r="AE50">
        <v>64</v>
      </c>
      <c r="AF50">
        <v>79</v>
      </c>
      <c r="AG50">
        <v>83</v>
      </c>
    </row>
    <row r="51" spans="1:39" x14ac:dyDescent="0.25">
      <c r="A51" t="s">
        <v>146</v>
      </c>
      <c r="B51">
        <v>14</v>
      </c>
      <c r="C51">
        <v>24</v>
      </c>
      <c r="D51">
        <v>25</v>
      </c>
      <c r="E51">
        <v>8</v>
      </c>
      <c r="F51">
        <v>17</v>
      </c>
      <c r="G51">
        <v>19</v>
      </c>
      <c r="H51">
        <v>9</v>
      </c>
      <c r="I51">
        <v>18</v>
      </c>
      <c r="J51" s="14">
        <v>6</v>
      </c>
      <c r="K51">
        <v>3</v>
      </c>
      <c r="L51">
        <v>4</v>
      </c>
      <c r="M51">
        <v>4</v>
      </c>
      <c r="N51">
        <v>4</v>
      </c>
      <c r="O51">
        <v>3</v>
      </c>
      <c r="P51">
        <v>4</v>
      </c>
      <c r="Q51">
        <v>5</v>
      </c>
      <c r="R51" s="14">
        <v>48</v>
      </c>
      <c r="S51">
        <v>51</v>
      </c>
      <c r="T51">
        <v>49</v>
      </c>
      <c r="U51">
        <v>25</v>
      </c>
      <c r="V51">
        <v>12</v>
      </c>
      <c r="W51">
        <v>29</v>
      </c>
      <c r="X51">
        <v>24</v>
      </c>
      <c r="Y51">
        <v>15</v>
      </c>
      <c r="Z51" s="14">
        <v>44</v>
      </c>
      <c r="AA51">
        <v>47</v>
      </c>
      <c r="AB51">
        <v>47</v>
      </c>
      <c r="AC51">
        <v>34</v>
      </c>
      <c r="AD51">
        <v>28</v>
      </c>
      <c r="AE51">
        <v>24</v>
      </c>
      <c r="AF51">
        <v>43</v>
      </c>
      <c r="AG51">
        <v>18</v>
      </c>
    </row>
    <row r="52" spans="1:39" x14ac:dyDescent="0.25">
      <c r="A52" t="s">
        <v>147</v>
      </c>
      <c r="B52">
        <v>73</v>
      </c>
      <c r="C52">
        <v>79</v>
      </c>
      <c r="D52">
        <v>90</v>
      </c>
      <c r="E52">
        <v>63</v>
      </c>
      <c r="F52">
        <v>71</v>
      </c>
      <c r="G52">
        <v>78</v>
      </c>
      <c r="H52">
        <v>81</v>
      </c>
      <c r="I52">
        <v>63</v>
      </c>
      <c r="J52" s="14">
        <v>25</v>
      </c>
      <c r="K52">
        <v>24</v>
      </c>
      <c r="L52">
        <v>8</v>
      </c>
      <c r="M52">
        <v>7</v>
      </c>
      <c r="N52">
        <v>23</v>
      </c>
      <c r="O52">
        <v>18</v>
      </c>
      <c r="P52">
        <v>19</v>
      </c>
      <c r="Q52">
        <v>16</v>
      </c>
      <c r="R52" s="14">
        <v>65</v>
      </c>
      <c r="S52">
        <v>47</v>
      </c>
      <c r="T52">
        <v>66</v>
      </c>
      <c r="U52">
        <v>93</v>
      </c>
      <c r="V52">
        <v>70</v>
      </c>
      <c r="W52">
        <v>63</v>
      </c>
      <c r="X52">
        <v>79</v>
      </c>
      <c r="Y52">
        <v>88</v>
      </c>
      <c r="Z52" s="14">
        <v>80</v>
      </c>
      <c r="AA52">
        <v>89</v>
      </c>
      <c r="AB52">
        <v>98</v>
      </c>
      <c r="AC52">
        <v>67</v>
      </c>
      <c r="AD52">
        <v>87</v>
      </c>
      <c r="AE52">
        <v>91</v>
      </c>
      <c r="AF52">
        <v>70</v>
      </c>
      <c r="AG52">
        <v>91</v>
      </c>
    </row>
    <row r="53" spans="1:39" x14ac:dyDescent="0.25">
      <c r="A53" t="s">
        <v>155</v>
      </c>
      <c r="B53">
        <v>76</v>
      </c>
      <c r="C53">
        <v>20</v>
      </c>
      <c r="D53">
        <v>29</v>
      </c>
      <c r="E53" s="5"/>
      <c r="F53">
        <v>20</v>
      </c>
      <c r="G53">
        <v>0</v>
      </c>
      <c r="H53">
        <v>0</v>
      </c>
      <c r="I53">
        <v>8</v>
      </c>
      <c r="J53" s="14">
        <v>0</v>
      </c>
      <c r="K53">
        <v>0</v>
      </c>
      <c r="L53">
        <v>0</v>
      </c>
      <c r="M53" s="5"/>
      <c r="N53">
        <v>0</v>
      </c>
      <c r="O53">
        <v>0</v>
      </c>
      <c r="P53">
        <v>0</v>
      </c>
      <c r="Q53">
        <v>0</v>
      </c>
      <c r="R53" s="14">
        <v>1</v>
      </c>
      <c r="S53">
        <v>51</v>
      </c>
      <c r="T53">
        <v>24</v>
      </c>
      <c r="U53" s="5"/>
      <c r="V53">
        <v>0</v>
      </c>
      <c r="W53">
        <v>20</v>
      </c>
      <c r="X53">
        <v>1</v>
      </c>
      <c r="Y53">
        <v>0</v>
      </c>
      <c r="Z53" s="14">
        <v>3</v>
      </c>
      <c r="AA53">
        <v>50</v>
      </c>
      <c r="AB53">
        <v>56</v>
      </c>
      <c r="AC53" s="5"/>
      <c r="AD53">
        <v>0</v>
      </c>
      <c r="AE53">
        <v>0</v>
      </c>
      <c r="AF53">
        <v>0</v>
      </c>
      <c r="AG53">
        <v>19</v>
      </c>
    </row>
    <row r="54" spans="1:39" x14ac:dyDescent="0.25">
      <c r="A54" t="s">
        <v>158</v>
      </c>
      <c r="B54">
        <v>62</v>
      </c>
      <c r="C54">
        <v>68</v>
      </c>
      <c r="D54">
        <v>66</v>
      </c>
      <c r="E54">
        <v>66</v>
      </c>
      <c r="F54">
        <v>70</v>
      </c>
      <c r="G54">
        <v>74</v>
      </c>
      <c r="H54">
        <v>66</v>
      </c>
      <c r="I54">
        <v>68</v>
      </c>
      <c r="J54" s="14">
        <v>3</v>
      </c>
      <c r="K54" s="19">
        <v>4</v>
      </c>
      <c r="L54" s="19">
        <v>4</v>
      </c>
      <c r="M54" s="19">
        <v>4</v>
      </c>
      <c r="N54">
        <v>49</v>
      </c>
      <c r="O54">
        <v>20</v>
      </c>
      <c r="P54">
        <v>14</v>
      </c>
      <c r="Q54">
        <v>4</v>
      </c>
      <c r="R54" s="14">
        <v>85</v>
      </c>
      <c r="S54" s="19">
        <v>75</v>
      </c>
      <c r="T54" s="19">
        <v>85</v>
      </c>
      <c r="U54" s="19">
        <v>89</v>
      </c>
      <c r="V54" s="5"/>
      <c r="W54">
        <v>80</v>
      </c>
      <c r="X54">
        <v>96</v>
      </c>
      <c r="Y54" s="5"/>
      <c r="Z54" s="14">
        <v>5</v>
      </c>
      <c r="AA54" s="19">
        <v>71</v>
      </c>
      <c r="AB54" s="19">
        <v>80</v>
      </c>
      <c r="AC54" s="19">
        <v>90</v>
      </c>
      <c r="AD54">
        <v>74</v>
      </c>
      <c r="AE54">
        <v>88</v>
      </c>
      <c r="AF54">
        <v>87</v>
      </c>
      <c r="AG54" s="5"/>
    </row>
    <row r="55" spans="1:39" x14ac:dyDescent="0.25">
      <c r="A55" t="s">
        <v>162</v>
      </c>
      <c r="B55">
        <v>53</v>
      </c>
      <c r="C55">
        <v>66</v>
      </c>
      <c r="D55">
        <v>14</v>
      </c>
      <c r="E55">
        <v>15</v>
      </c>
      <c r="F55">
        <v>34</v>
      </c>
      <c r="G55">
        <v>12</v>
      </c>
      <c r="H55">
        <v>6</v>
      </c>
      <c r="I55">
        <v>17</v>
      </c>
      <c r="J55" s="14">
        <v>38</v>
      </c>
      <c r="K55">
        <v>25</v>
      </c>
      <c r="L55">
        <v>10</v>
      </c>
      <c r="M55">
        <v>13</v>
      </c>
      <c r="N55">
        <v>8</v>
      </c>
      <c r="O55">
        <v>10</v>
      </c>
      <c r="P55">
        <v>9</v>
      </c>
      <c r="Q55">
        <v>13</v>
      </c>
      <c r="R55" s="14">
        <v>32</v>
      </c>
      <c r="S55">
        <v>32</v>
      </c>
      <c r="T55">
        <v>12</v>
      </c>
      <c r="U55">
        <v>20</v>
      </c>
      <c r="V55">
        <v>17</v>
      </c>
      <c r="W55">
        <v>16</v>
      </c>
      <c r="X55">
        <v>20</v>
      </c>
      <c r="Y55">
        <v>35</v>
      </c>
      <c r="Z55" s="14">
        <v>65</v>
      </c>
      <c r="AA55">
        <v>28</v>
      </c>
      <c r="AB55">
        <v>15</v>
      </c>
      <c r="AC55">
        <v>18</v>
      </c>
      <c r="AD55">
        <v>7</v>
      </c>
      <c r="AE55">
        <v>9</v>
      </c>
      <c r="AF55" s="5"/>
      <c r="AG55">
        <v>7</v>
      </c>
    </row>
    <row r="56" spans="1:39" x14ac:dyDescent="0.25">
      <c r="A56" t="s">
        <v>160</v>
      </c>
      <c r="B56">
        <v>18</v>
      </c>
      <c r="C56">
        <v>17</v>
      </c>
      <c r="D56">
        <v>20</v>
      </c>
      <c r="E56">
        <v>21</v>
      </c>
      <c r="F56">
        <v>7</v>
      </c>
      <c r="G56">
        <v>14</v>
      </c>
      <c r="H56">
        <v>13</v>
      </c>
      <c r="I56">
        <v>20</v>
      </c>
      <c r="J56" s="14">
        <v>19</v>
      </c>
      <c r="K56">
        <v>13</v>
      </c>
      <c r="L56">
        <v>13</v>
      </c>
      <c r="M56">
        <v>12</v>
      </c>
      <c r="N56">
        <v>12</v>
      </c>
      <c r="O56">
        <v>9</v>
      </c>
      <c r="P56">
        <v>11</v>
      </c>
      <c r="Q56">
        <v>10</v>
      </c>
      <c r="R56" s="14">
        <v>29</v>
      </c>
      <c r="S56">
        <v>14</v>
      </c>
      <c r="T56">
        <v>18</v>
      </c>
      <c r="U56">
        <v>11</v>
      </c>
      <c r="V56">
        <v>8</v>
      </c>
      <c r="W56">
        <v>7</v>
      </c>
      <c r="X56">
        <v>8</v>
      </c>
      <c r="Y56">
        <v>12</v>
      </c>
      <c r="Z56" s="14">
        <v>28</v>
      </c>
      <c r="AA56">
        <v>10</v>
      </c>
      <c r="AB56">
        <v>7</v>
      </c>
      <c r="AC56">
        <v>8</v>
      </c>
      <c r="AD56">
        <v>9</v>
      </c>
      <c r="AE56">
        <v>8</v>
      </c>
      <c r="AF56">
        <v>10</v>
      </c>
      <c r="AG56">
        <v>7</v>
      </c>
    </row>
    <row r="57" spans="1:39" x14ac:dyDescent="0.25">
      <c r="A57" t="s">
        <v>173</v>
      </c>
      <c r="B57">
        <v>37</v>
      </c>
      <c r="C57">
        <v>48</v>
      </c>
      <c r="D57">
        <v>53</v>
      </c>
      <c r="E57">
        <v>43</v>
      </c>
      <c r="F57">
        <v>52</v>
      </c>
      <c r="G57">
        <v>51</v>
      </c>
      <c r="H57">
        <v>31</v>
      </c>
      <c r="I57">
        <v>27</v>
      </c>
      <c r="J57" s="14">
        <v>18</v>
      </c>
      <c r="K57">
        <v>27</v>
      </c>
      <c r="L57">
        <v>33</v>
      </c>
      <c r="M57">
        <v>59</v>
      </c>
      <c r="N57">
        <v>47</v>
      </c>
      <c r="O57">
        <v>56</v>
      </c>
      <c r="P57">
        <v>27</v>
      </c>
      <c r="Q57">
        <v>28</v>
      </c>
      <c r="R57" s="14">
        <v>68</v>
      </c>
      <c r="S57">
        <v>68</v>
      </c>
      <c r="T57">
        <v>53</v>
      </c>
      <c r="U57" s="5"/>
      <c r="V57">
        <v>79</v>
      </c>
      <c r="W57">
        <v>81</v>
      </c>
      <c r="X57">
        <v>57</v>
      </c>
      <c r="Y57">
        <v>64</v>
      </c>
      <c r="Z57" s="14">
        <v>46</v>
      </c>
      <c r="AA57">
        <v>50</v>
      </c>
      <c r="AB57">
        <v>72</v>
      </c>
      <c r="AC57" s="5"/>
      <c r="AD57">
        <v>54</v>
      </c>
      <c r="AE57">
        <v>73</v>
      </c>
      <c r="AF57">
        <v>73</v>
      </c>
      <c r="AG57">
        <v>51</v>
      </c>
    </row>
    <row r="58" spans="1:39" x14ac:dyDescent="0.25">
      <c r="A58" t="s">
        <v>174</v>
      </c>
      <c r="B58">
        <v>48</v>
      </c>
      <c r="C58">
        <v>42</v>
      </c>
      <c r="D58">
        <v>44</v>
      </c>
      <c r="E58">
        <v>42</v>
      </c>
      <c r="F58">
        <v>44</v>
      </c>
      <c r="G58">
        <v>27</v>
      </c>
      <c r="H58">
        <v>40</v>
      </c>
      <c r="I58">
        <v>52</v>
      </c>
      <c r="J58" s="14">
        <v>53</v>
      </c>
      <c r="K58">
        <v>27</v>
      </c>
      <c r="L58">
        <v>29</v>
      </c>
      <c r="M58">
        <v>29</v>
      </c>
      <c r="N58">
        <v>47</v>
      </c>
      <c r="O58">
        <v>31</v>
      </c>
      <c r="P58">
        <v>41</v>
      </c>
      <c r="Q58">
        <v>37</v>
      </c>
      <c r="R58" s="14">
        <v>80</v>
      </c>
      <c r="S58">
        <v>69</v>
      </c>
      <c r="T58">
        <v>60</v>
      </c>
      <c r="U58">
        <v>80</v>
      </c>
      <c r="V58">
        <v>94</v>
      </c>
      <c r="W58">
        <v>68</v>
      </c>
      <c r="X58">
        <v>57</v>
      </c>
      <c r="Y58">
        <v>67</v>
      </c>
      <c r="Z58" s="14">
        <v>66</v>
      </c>
      <c r="AA58">
        <v>70</v>
      </c>
      <c r="AB58">
        <v>63</v>
      </c>
      <c r="AC58">
        <v>80</v>
      </c>
      <c r="AD58">
        <v>71</v>
      </c>
      <c r="AE58">
        <v>51</v>
      </c>
      <c r="AF58">
        <v>71</v>
      </c>
      <c r="AG58">
        <v>63</v>
      </c>
    </row>
    <row r="59" spans="1:39" x14ac:dyDescent="0.25">
      <c r="A59" t="s">
        <v>175</v>
      </c>
      <c r="B59">
        <v>52</v>
      </c>
      <c r="C59">
        <v>60</v>
      </c>
      <c r="D59">
        <v>56</v>
      </c>
      <c r="E59">
        <v>70</v>
      </c>
      <c r="F59">
        <v>68</v>
      </c>
      <c r="G59">
        <v>63</v>
      </c>
      <c r="H59">
        <v>63</v>
      </c>
      <c r="I59">
        <v>64</v>
      </c>
      <c r="J59" s="14">
        <v>26</v>
      </c>
      <c r="K59">
        <v>47</v>
      </c>
      <c r="L59">
        <v>49</v>
      </c>
      <c r="M59">
        <v>64</v>
      </c>
      <c r="N59">
        <v>58</v>
      </c>
      <c r="O59">
        <v>64</v>
      </c>
      <c r="P59">
        <v>51</v>
      </c>
      <c r="Q59">
        <v>49</v>
      </c>
      <c r="R59" s="14">
        <v>60</v>
      </c>
      <c r="S59">
        <v>31</v>
      </c>
      <c r="T59">
        <v>74</v>
      </c>
      <c r="U59">
        <v>70</v>
      </c>
      <c r="V59">
        <v>71</v>
      </c>
      <c r="W59">
        <v>60</v>
      </c>
      <c r="X59">
        <v>64</v>
      </c>
      <c r="Y59">
        <v>58</v>
      </c>
      <c r="Z59" s="14">
        <v>71</v>
      </c>
      <c r="AA59">
        <v>84</v>
      </c>
      <c r="AB59">
        <v>75</v>
      </c>
      <c r="AC59">
        <v>68</v>
      </c>
      <c r="AD59">
        <v>69</v>
      </c>
      <c r="AE59">
        <v>53</v>
      </c>
      <c r="AF59">
        <v>47</v>
      </c>
      <c r="AG59">
        <v>71</v>
      </c>
    </row>
    <row r="60" spans="1:39" x14ac:dyDescent="0.25">
      <c r="A60" t="s">
        <v>187</v>
      </c>
      <c r="B60">
        <v>38</v>
      </c>
      <c r="C60">
        <v>41</v>
      </c>
      <c r="D60">
        <v>47</v>
      </c>
      <c r="E60">
        <v>48</v>
      </c>
      <c r="F60">
        <v>50</v>
      </c>
      <c r="G60">
        <v>50</v>
      </c>
      <c r="H60">
        <v>48</v>
      </c>
      <c r="I60">
        <v>41</v>
      </c>
      <c r="J60" s="14">
        <v>25</v>
      </c>
      <c r="K60">
        <v>48</v>
      </c>
      <c r="L60">
        <v>44</v>
      </c>
      <c r="M60">
        <v>44</v>
      </c>
      <c r="N60">
        <v>44</v>
      </c>
      <c r="O60">
        <v>47</v>
      </c>
      <c r="P60">
        <v>43</v>
      </c>
      <c r="Q60">
        <v>38</v>
      </c>
      <c r="R60" s="14">
        <v>58</v>
      </c>
      <c r="S60">
        <v>40</v>
      </c>
      <c r="T60">
        <v>55</v>
      </c>
      <c r="U60">
        <v>45</v>
      </c>
      <c r="V60">
        <v>49</v>
      </c>
      <c r="W60">
        <v>34</v>
      </c>
      <c r="X60">
        <v>50</v>
      </c>
      <c r="Y60">
        <v>54</v>
      </c>
      <c r="Z60" s="14">
        <v>66</v>
      </c>
      <c r="AA60">
        <v>53</v>
      </c>
      <c r="AB60">
        <v>54</v>
      </c>
      <c r="AC60">
        <v>54</v>
      </c>
      <c r="AD60">
        <v>56</v>
      </c>
      <c r="AE60">
        <v>45</v>
      </c>
      <c r="AF60">
        <v>53</v>
      </c>
      <c r="AG60">
        <v>47</v>
      </c>
    </row>
    <row r="61" spans="1:39" x14ac:dyDescent="0.25">
      <c r="A61" t="s">
        <v>186</v>
      </c>
      <c r="B61">
        <v>19</v>
      </c>
      <c r="C61">
        <v>9</v>
      </c>
      <c r="D61">
        <v>4</v>
      </c>
      <c r="E61">
        <v>9</v>
      </c>
      <c r="F61">
        <v>9</v>
      </c>
      <c r="G61">
        <v>24</v>
      </c>
      <c r="H61">
        <v>14</v>
      </c>
      <c r="I61">
        <v>4</v>
      </c>
      <c r="J61" s="14">
        <v>11</v>
      </c>
      <c r="K61">
        <v>14</v>
      </c>
      <c r="L61">
        <v>24</v>
      </c>
      <c r="M61">
        <v>16</v>
      </c>
      <c r="N61">
        <v>11</v>
      </c>
      <c r="O61">
        <v>7</v>
      </c>
      <c r="P61">
        <v>10</v>
      </c>
      <c r="Q61">
        <v>9</v>
      </c>
      <c r="R61" s="14">
        <v>43</v>
      </c>
      <c r="S61">
        <v>35</v>
      </c>
      <c r="T61">
        <v>32</v>
      </c>
      <c r="U61">
        <v>44</v>
      </c>
      <c r="V61">
        <v>27</v>
      </c>
      <c r="W61">
        <v>28</v>
      </c>
      <c r="X61">
        <v>18</v>
      </c>
      <c r="Y61">
        <v>24</v>
      </c>
      <c r="Z61" s="14">
        <v>34</v>
      </c>
      <c r="AA61">
        <v>23</v>
      </c>
      <c r="AB61">
        <v>47</v>
      </c>
      <c r="AC61">
        <v>32</v>
      </c>
      <c r="AD61">
        <v>25</v>
      </c>
      <c r="AE61">
        <v>24</v>
      </c>
      <c r="AF61">
        <v>29</v>
      </c>
      <c r="AG61">
        <v>26</v>
      </c>
    </row>
    <row r="63" spans="1:39" x14ac:dyDescent="0.25">
      <c r="AI63" s="25"/>
      <c r="AJ63" s="37"/>
      <c r="AK63" s="37"/>
      <c r="AL63" s="37"/>
      <c r="AM63" s="37"/>
    </row>
    <row r="65" spans="35:39" x14ac:dyDescent="0.25">
      <c r="AI65" s="25"/>
      <c r="AJ65" s="12"/>
      <c r="AK65" s="12"/>
      <c r="AL65" s="12"/>
      <c r="AM65" s="12"/>
    </row>
    <row r="66" spans="35:39" x14ac:dyDescent="0.25">
      <c r="AI66" s="25"/>
      <c r="AJ66" s="12"/>
      <c r="AK66" s="12"/>
      <c r="AL66" s="12"/>
      <c r="AM66" s="12"/>
    </row>
    <row r="67" spans="35:39" x14ac:dyDescent="0.25">
      <c r="AJ67" s="12"/>
      <c r="AK67" s="12"/>
      <c r="AL67" s="12"/>
      <c r="AM67" s="12"/>
    </row>
    <row r="68" spans="35:39" x14ac:dyDescent="0.25">
      <c r="AI68" s="25"/>
      <c r="AJ68" s="12"/>
      <c r="AK68" s="12"/>
      <c r="AL68" s="12"/>
      <c r="AM68" s="12"/>
    </row>
    <row r="69" spans="35:39" x14ac:dyDescent="0.25">
      <c r="AI69" s="25"/>
      <c r="AJ69" s="12"/>
      <c r="AK69" s="12"/>
      <c r="AL69" s="12"/>
      <c r="AM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6"/>
  <sheetViews>
    <sheetView zoomScale="55" zoomScaleNormal="55" workbookViewId="0">
      <selection activeCell="L38" sqref="L38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 s="3">
        <v>21.5750876820066</v>
      </c>
      <c r="C2" s="3">
        <v>21.867361037304708</v>
      </c>
      <c r="E2" s="3">
        <f>C2-B2</f>
        <v>0.29227335529810716</v>
      </c>
    </row>
    <row r="3" spans="1:5" x14ac:dyDescent="0.25">
      <c r="A3" t="s">
        <v>13</v>
      </c>
      <c r="B3" s="3">
        <v>20.939531760324776</v>
      </c>
      <c r="C3" s="3">
        <v>21.366869143188548</v>
      </c>
      <c r="E3" s="3">
        <f t="shared" ref="E3:E61" si="0">C3-B3</f>
        <v>0.42733738286377232</v>
      </c>
    </row>
    <row r="4" spans="1:5" x14ac:dyDescent="0.25">
      <c r="A4" t="s">
        <v>68</v>
      </c>
      <c r="B4" s="3">
        <v>22.512168739859383</v>
      </c>
      <c r="C4" s="3">
        <v>22.681179015684155</v>
      </c>
      <c r="E4" s="3">
        <f t="shared" si="0"/>
        <v>0.16901027582477113</v>
      </c>
    </row>
    <row r="5" spans="1:5" x14ac:dyDescent="0.25">
      <c r="A5" t="s">
        <v>69</v>
      </c>
      <c r="B5" s="3">
        <v>22.790385904433592</v>
      </c>
      <c r="C5" s="3">
        <v>22.535031440518367</v>
      </c>
      <c r="E5" s="3">
        <f t="shared" si="0"/>
        <v>-0.25535446391522498</v>
      </c>
    </row>
    <row r="6" spans="1:5" x14ac:dyDescent="0.25">
      <c r="A6" t="s">
        <v>70</v>
      </c>
      <c r="B6" s="3">
        <v>21.145402892561982</v>
      </c>
      <c r="C6" s="3">
        <v>21.403667355371901</v>
      </c>
      <c r="E6" s="3">
        <f t="shared" si="0"/>
        <v>0.25826446280991888</v>
      </c>
    </row>
    <row r="7" spans="1:5" x14ac:dyDescent="0.25">
      <c r="A7" t="s">
        <v>74</v>
      </c>
      <c r="B7" s="3">
        <v>27.22219968355714</v>
      </c>
      <c r="C7" s="3">
        <v>27.262769280701043</v>
      </c>
      <c r="E7" s="3">
        <f t="shared" si="0"/>
        <v>4.0569597143903735E-2</v>
      </c>
    </row>
    <row r="8" spans="1:5" x14ac:dyDescent="0.25">
      <c r="A8" t="s">
        <v>79</v>
      </c>
      <c r="B8" s="3">
        <v>24.085930881018317</v>
      </c>
      <c r="C8" s="3">
        <v>23.884879705049883</v>
      </c>
      <c r="E8" s="3">
        <f t="shared" si="0"/>
        <v>-0.20105117596843414</v>
      </c>
    </row>
    <row r="9" spans="1:5" x14ac:dyDescent="0.25">
      <c r="A9" t="s">
        <v>80</v>
      </c>
      <c r="B9" s="3">
        <v>23.188116154526377</v>
      </c>
      <c r="C9" s="3">
        <v>23.092032800294913</v>
      </c>
      <c r="E9" s="3">
        <f t="shared" si="0"/>
        <v>-9.6083354231463858E-2</v>
      </c>
    </row>
    <row r="10" spans="1:5" x14ac:dyDescent="0.25">
      <c r="A10" t="s">
        <v>86</v>
      </c>
      <c r="B10" s="3">
        <v>21.524824334319529</v>
      </c>
      <c r="C10" s="3">
        <v>21.416477903106511</v>
      </c>
      <c r="E10" s="3">
        <f t="shared" si="0"/>
        <v>-0.10834643121301823</v>
      </c>
    </row>
    <row r="11" spans="1:5" x14ac:dyDescent="0.25">
      <c r="A11" t="s">
        <v>92</v>
      </c>
      <c r="B11" s="3">
        <v>21.185794848346283</v>
      </c>
      <c r="C11" s="3">
        <v>21.490626428898029</v>
      </c>
      <c r="E11" s="3">
        <f t="shared" si="0"/>
        <v>0.30483158055174542</v>
      </c>
    </row>
    <row r="12" spans="1:5" x14ac:dyDescent="0.25">
      <c r="A12" t="s">
        <v>93</v>
      </c>
      <c r="B12" s="3">
        <v>30.562163590926573</v>
      </c>
      <c r="C12" s="3">
        <v>29.923887447135723</v>
      </c>
      <c r="E12" s="3">
        <f t="shared" si="0"/>
        <v>-0.63827614379085063</v>
      </c>
    </row>
    <row r="13" spans="1:5" x14ac:dyDescent="0.25">
      <c r="A13" t="s">
        <v>110</v>
      </c>
      <c r="B13" s="3">
        <v>25.741515217769344</v>
      </c>
      <c r="C13" s="3">
        <v>25.204612235243449</v>
      </c>
      <c r="E13" s="3">
        <f t="shared" si="0"/>
        <v>-0.53690298252589486</v>
      </c>
    </row>
    <row r="14" spans="1:5" x14ac:dyDescent="0.25">
      <c r="A14" t="s">
        <v>120</v>
      </c>
      <c r="B14" s="3">
        <v>21.467442296866203</v>
      </c>
      <c r="C14" s="3">
        <v>21.444924000750611</v>
      </c>
      <c r="E14" s="3">
        <f t="shared" si="0"/>
        <v>-2.2518296115592307E-2</v>
      </c>
    </row>
    <row r="15" spans="1:5" x14ac:dyDescent="0.25">
      <c r="A15" t="s">
        <v>125</v>
      </c>
      <c r="B15" s="3">
        <v>19.596315892612186</v>
      </c>
      <c r="C15" s="3">
        <v>19.989991881526272</v>
      </c>
      <c r="E15" s="3">
        <f t="shared" si="0"/>
        <v>0.39367598891408662</v>
      </c>
    </row>
    <row r="16" spans="1:5" x14ac:dyDescent="0.25">
      <c r="A16" t="s">
        <v>130</v>
      </c>
      <c r="B16" s="3">
        <v>22.394519929240847</v>
      </c>
      <c r="C16" s="3">
        <v>22.657984869584858</v>
      </c>
      <c r="E16" s="3">
        <f t="shared" si="0"/>
        <v>0.26346494034401147</v>
      </c>
    </row>
    <row r="17" spans="1:5" x14ac:dyDescent="0.25">
      <c r="A17" t="s">
        <v>145</v>
      </c>
      <c r="B17" s="3">
        <v>20.856272677362661</v>
      </c>
      <c r="C17" s="3">
        <v>20.583641661972301</v>
      </c>
      <c r="E17" s="3">
        <f t="shared" si="0"/>
        <v>-0.27263101539035972</v>
      </c>
    </row>
    <row r="18" spans="1:5" x14ac:dyDescent="0.25">
      <c r="A18" t="s">
        <v>144</v>
      </c>
      <c r="B18" s="3">
        <v>23.370591929312251</v>
      </c>
      <c r="C18" s="3">
        <v>23.20807042771759</v>
      </c>
      <c r="E18" s="3">
        <f t="shared" si="0"/>
        <v>-0.16252150159466083</v>
      </c>
    </row>
    <row r="19" spans="1:5" x14ac:dyDescent="0.25">
      <c r="A19" t="s">
        <v>132</v>
      </c>
      <c r="B19" s="3">
        <v>24.360526885517778</v>
      </c>
      <c r="C19" s="3">
        <v>24.546201633120809</v>
      </c>
      <c r="E19" s="3">
        <f t="shared" si="0"/>
        <v>0.18567474760303071</v>
      </c>
    </row>
    <row r="20" spans="1:5" x14ac:dyDescent="0.25">
      <c r="A20" t="s">
        <v>146</v>
      </c>
      <c r="B20" s="3">
        <v>25.33404437757439</v>
      </c>
      <c r="C20" s="3">
        <v>25.272178579338554</v>
      </c>
      <c r="E20" s="3">
        <f t="shared" si="0"/>
        <v>-6.1865798235835712E-2</v>
      </c>
    </row>
    <row r="21" spans="1:5" x14ac:dyDescent="0.25">
      <c r="A21" t="s">
        <v>147</v>
      </c>
      <c r="B21" s="3">
        <v>18.856842447412703</v>
      </c>
      <c r="C21" s="3">
        <v>19.040274766940065</v>
      </c>
      <c r="E21" s="3">
        <f t="shared" si="0"/>
        <v>0.18343231952736261</v>
      </c>
    </row>
    <row r="22" spans="1:5" x14ac:dyDescent="0.25">
      <c r="A22" t="s">
        <v>155</v>
      </c>
      <c r="B22" s="3">
        <v>23.239028736912452</v>
      </c>
      <c r="C22" s="3">
        <v>23.738026286478057</v>
      </c>
      <c r="E22" s="3">
        <f t="shared" si="0"/>
        <v>0.49899754956560471</v>
      </c>
    </row>
    <row r="23" spans="1:5" x14ac:dyDescent="0.25">
      <c r="A23" t="s">
        <v>158</v>
      </c>
      <c r="B23" s="3">
        <v>22.817138949306099</v>
      </c>
      <c r="C23" s="3">
        <v>22.945686210992335</v>
      </c>
      <c r="E23" s="3">
        <f t="shared" si="0"/>
        <v>0.12854726168623642</v>
      </c>
    </row>
    <row r="24" spans="1:5" x14ac:dyDescent="0.25">
      <c r="A24" t="s">
        <v>162</v>
      </c>
      <c r="B24" s="3">
        <v>43.393109081458377</v>
      </c>
      <c r="C24" s="3">
        <v>43.779856934234296</v>
      </c>
      <c r="E24" s="3">
        <f t="shared" si="0"/>
        <v>0.38674785277591894</v>
      </c>
    </row>
    <row r="25" spans="1:5" x14ac:dyDescent="0.25">
      <c r="A25" t="s">
        <v>160</v>
      </c>
      <c r="B25" s="3">
        <v>31.062051391418663</v>
      </c>
      <c r="C25" s="3">
        <v>31.700937854905238</v>
      </c>
      <c r="E25" s="3">
        <f t="shared" si="0"/>
        <v>0.63888646348657474</v>
      </c>
    </row>
    <row r="26" spans="1:5" x14ac:dyDescent="0.25">
      <c r="A26" t="s">
        <v>173</v>
      </c>
      <c r="B26" s="3">
        <v>27.270588611661751</v>
      </c>
      <c r="C26" s="3">
        <v>27.543684634954495</v>
      </c>
      <c r="E26" s="3">
        <f t="shared" si="0"/>
        <v>0.27309602329274441</v>
      </c>
    </row>
    <row r="27" spans="1:5" x14ac:dyDescent="0.25">
      <c r="A27" t="s">
        <v>174</v>
      </c>
      <c r="B27" s="3">
        <v>25.987155937175157</v>
      </c>
      <c r="C27" s="3">
        <v>25.927824530925903</v>
      </c>
      <c r="E27" s="3">
        <f t="shared" si="0"/>
        <v>-5.9331406249253149E-2</v>
      </c>
    </row>
    <row r="28" spans="1:5" x14ac:dyDescent="0.25">
      <c r="A28" t="s">
        <v>175</v>
      </c>
      <c r="B28" s="3">
        <v>35.222856342565038</v>
      </c>
      <c r="C28" s="3">
        <v>34.977766884913002</v>
      </c>
      <c r="E28" s="3">
        <f t="shared" si="0"/>
        <v>-0.24508945765203549</v>
      </c>
    </row>
    <row r="29" spans="1:5" x14ac:dyDescent="0.25">
      <c r="A29" t="s">
        <v>187</v>
      </c>
      <c r="B29" s="3">
        <v>30.75962539021852</v>
      </c>
      <c r="C29" s="3">
        <f>(72.8/(1.55*1.55))</f>
        <v>30.301768990634752</v>
      </c>
      <c r="E29" s="3">
        <f t="shared" si="0"/>
        <v>-0.45785639958376834</v>
      </c>
    </row>
    <row r="30" spans="1:5" x14ac:dyDescent="0.25">
      <c r="A30" t="s">
        <v>186</v>
      </c>
      <c r="B30" s="3">
        <v>28.055747152011396</v>
      </c>
      <c r="C30" s="3">
        <v>27.603795834816665</v>
      </c>
      <c r="E30" s="3">
        <f t="shared" si="0"/>
        <v>-0.45195131719473025</v>
      </c>
    </row>
    <row r="31" spans="1:5" x14ac:dyDescent="0.25">
      <c r="E31" s="3"/>
    </row>
    <row r="32" spans="1:5" s="25" customFormat="1" x14ac:dyDescent="0.25">
      <c r="A32" s="25" t="s">
        <v>1</v>
      </c>
      <c r="E32" s="3"/>
    </row>
    <row r="33" spans="1:5" x14ac:dyDescent="0.25">
      <c r="A33" t="s">
        <v>3</v>
      </c>
      <c r="B33" s="3">
        <v>21.814220427250504</v>
      </c>
      <c r="C33" s="3">
        <v>21.973642257413118</v>
      </c>
      <c r="E33" s="3">
        <f t="shared" si="0"/>
        <v>0.15942183016261424</v>
      </c>
    </row>
    <row r="34" spans="1:5" x14ac:dyDescent="0.25">
      <c r="A34" t="s">
        <v>13</v>
      </c>
      <c r="B34" s="3">
        <v>21.21424864930863</v>
      </c>
      <c r="C34" s="3">
        <v>20.939531760324776</v>
      </c>
      <c r="E34" s="3">
        <f t="shared" si="0"/>
        <v>-0.27471688898385338</v>
      </c>
    </row>
    <row r="35" spans="1:5" x14ac:dyDescent="0.25">
      <c r="A35" t="s">
        <v>68</v>
      </c>
      <c r="B35" s="3">
        <v>22.106544077879938</v>
      </c>
      <c r="C35" s="3">
        <v>22.241752298539751</v>
      </c>
      <c r="E35" s="3">
        <f t="shared" si="0"/>
        <v>0.13520822065981264</v>
      </c>
    </row>
    <row r="36" spans="1:5" x14ac:dyDescent="0.25">
      <c r="A36" t="s">
        <v>69</v>
      </c>
      <c r="B36" s="3">
        <v>22.662708672475979</v>
      </c>
      <c r="C36" s="3">
        <v>22.949982444380606</v>
      </c>
      <c r="E36" s="3">
        <f t="shared" si="0"/>
        <v>0.28727377190462633</v>
      </c>
    </row>
    <row r="37" spans="1:5" x14ac:dyDescent="0.25">
      <c r="A37" t="s">
        <v>70</v>
      </c>
      <c r="B37" s="3">
        <v>21.306818181818183</v>
      </c>
      <c r="C37" s="3">
        <v>21.113119834710748</v>
      </c>
      <c r="E37" s="3">
        <f t="shared" si="0"/>
        <v>-0.19369834710743561</v>
      </c>
    </row>
    <row r="38" spans="1:5" x14ac:dyDescent="0.25">
      <c r="A38" t="s">
        <v>74</v>
      </c>
      <c r="B38" s="3">
        <v>27.384478072132744</v>
      </c>
      <c r="C38" s="3">
        <v>27.019351697837639</v>
      </c>
      <c r="E38" s="3">
        <f t="shared" si="0"/>
        <v>-0.36512637429510519</v>
      </c>
    </row>
    <row r="39" spans="1:5" x14ac:dyDescent="0.25">
      <c r="A39" t="s">
        <v>79</v>
      </c>
      <c r="B39" s="3">
        <v>23.965300175437257</v>
      </c>
      <c r="C39" s="3">
        <v>24.04572064582463</v>
      </c>
      <c r="E39" s="3">
        <f t="shared" si="0"/>
        <v>8.0420470387373655E-2</v>
      </c>
    </row>
    <row r="40" spans="1:5" x14ac:dyDescent="0.25">
      <c r="A40" t="s">
        <v>80</v>
      </c>
      <c r="B40" s="3">
        <v>22.547560459649958</v>
      </c>
      <c r="C40" s="3">
        <v>23.476366217220765</v>
      </c>
      <c r="E40" s="3">
        <f t="shared" si="0"/>
        <v>0.92880575757080663</v>
      </c>
    </row>
    <row r="41" spans="1:5" x14ac:dyDescent="0.25">
      <c r="A41" t="s">
        <v>86</v>
      </c>
      <c r="B41" s="3">
        <v>21.84986362795858</v>
      </c>
      <c r="C41" s="3">
        <v>21.199785040680474</v>
      </c>
      <c r="E41" s="3">
        <f t="shared" si="0"/>
        <v>-0.65007858727810586</v>
      </c>
    </row>
    <row r="42" spans="1:5" x14ac:dyDescent="0.25">
      <c r="A42" t="s">
        <v>92</v>
      </c>
      <c r="B42" s="3">
        <v>21.262002743484221</v>
      </c>
      <c r="C42" s="3">
        <v>21.452522481329062</v>
      </c>
      <c r="E42" s="3">
        <f t="shared" si="0"/>
        <v>0.19051973784484133</v>
      </c>
    </row>
    <row r="43" spans="1:5" x14ac:dyDescent="0.25">
      <c r="A43" t="s">
        <v>93</v>
      </c>
      <c r="B43" s="3">
        <v>29.323156958861979</v>
      </c>
      <c r="C43" s="3">
        <v>29.248065647827765</v>
      </c>
      <c r="E43" s="3">
        <f t="shared" si="0"/>
        <v>-7.5091311034213959E-2</v>
      </c>
    </row>
    <row r="44" spans="1:5" x14ac:dyDescent="0.25">
      <c r="A44" t="s">
        <v>110</v>
      </c>
      <c r="B44" s="3">
        <v>25.413407839559074</v>
      </c>
      <c r="C44" s="3">
        <v>25.234440178717108</v>
      </c>
      <c r="E44" s="3">
        <f t="shared" si="0"/>
        <v>-0.17896766084196614</v>
      </c>
    </row>
    <row r="45" spans="1:5" x14ac:dyDescent="0.25">
      <c r="A45" t="s">
        <v>120</v>
      </c>
      <c r="B45" s="3">
        <v>21.737661850253332</v>
      </c>
      <c r="C45" s="3">
        <v>21.437417902045414</v>
      </c>
      <c r="E45" s="3">
        <f t="shared" si="0"/>
        <v>-0.30024394820791755</v>
      </c>
    </row>
    <row r="46" spans="1:5" x14ac:dyDescent="0.25">
      <c r="A46" t="s">
        <v>125</v>
      </c>
      <c r="B46" s="3">
        <v>19.246381680244113</v>
      </c>
      <c r="C46" s="3">
        <v>19.508832339520168</v>
      </c>
      <c r="E46" s="3">
        <f t="shared" si="0"/>
        <v>0.26245065927605538</v>
      </c>
    </row>
    <row r="47" spans="1:5" x14ac:dyDescent="0.25">
      <c r="A47" t="s">
        <v>130</v>
      </c>
      <c r="B47" s="3">
        <v>21.94286574579397</v>
      </c>
      <c r="C47" s="3">
        <v>22.243968534758555</v>
      </c>
      <c r="E47" s="3">
        <f t="shared" si="0"/>
        <v>0.30110278896458453</v>
      </c>
    </row>
    <row r="48" spans="1:5" x14ac:dyDescent="0.25">
      <c r="A48" t="s">
        <v>145</v>
      </c>
      <c r="B48" s="3">
        <v>20.345089523505735</v>
      </c>
      <c r="C48" s="3">
        <v>20.685878292743688</v>
      </c>
      <c r="E48" s="3">
        <f t="shared" si="0"/>
        <v>0.3407887692379532</v>
      </c>
    </row>
    <row r="49" spans="1:5" x14ac:dyDescent="0.25">
      <c r="A49" t="s">
        <v>144</v>
      </c>
      <c r="B49" s="3">
        <v>22.720505922933608</v>
      </c>
      <c r="C49" s="3">
        <v>22.655497322295741</v>
      </c>
      <c r="E49" s="3">
        <f t="shared" si="0"/>
        <v>-6.5008600637867175E-2</v>
      </c>
    </row>
    <row r="50" spans="1:5" x14ac:dyDescent="0.25">
      <c r="A50" t="s">
        <v>132</v>
      </c>
      <c r="B50" s="3">
        <v>24.583336582641419</v>
      </c>
      <c r="C50" s="3">
        <v>24.4719317340796</v>
      </c>
      <c r="E50" s="3">
        <f t="shared" si="0"/>
        <v>-0.11140484856181843</v>
      </c>
    </row>
    <row r="51" spans="1:5" x14ac:dyDescent="0.25">
      <c r="A51" t="s">
        <v>146</v>
      </c>
      <c r="B51" s="3">
        <v>25.055648285513133</v>
      </c>
      <c r="C51" s="3">
        <v>25.117514083748969</v>
      </c>
      <c r="E51" s="3">
        <f t="shared" si="0"/>
        <v>6.1865798235835712E-2</v>
      </c>
    </row>
    <row r="52" spans="1:5" x14ac:dyDescent="0.25">
      <c r="A52" t="s">
        <v>147</v>
      </c>
      <c r="B52" s="3">
        <v>18.391623969703719</v>
      </c>
      <c r="C52" s="3">
        <v>18.32033860548006</v>
      </c>
      <c r="E52" s="3">
        <f t="shared" si="0"/>
        <v>-7.1285364223658831E-2</v>
      </c>
    </row>
    <row r="53" spans="1:5" x14ac:dyDescent="0.25">
      <c r="A53" t="s">
        <v>155</v>
      </c>
      <c r="B53" s="3">
        <v>22.965726404825592</v>
      </c>
      <c r="C53" s="3">
        <v>23.516023363407669</v>
      </c>
      <c r="E53" s="3">
        <f t="shared" si="0"/>
        <v>0.55029695858207717</v>
      </c>
    </row>
    <row r="54" spans="1:5" x14ac:dyDescent="0.25">
      <c r="A54" t="s">
        <v>158</v>
      </c>
      <c r="B54" s="3">
        <v>22.881412580149217</v>
      </c>
      <c r="C54" s="3">
        <v>23.331327996051023</v>
      </c>
      <c r="E54" s="3">
        <f t="shared" si="0"/>
        <v>0.44991541590180617</v>
      </c>
    </row>
    <row r="55" spans="1:5" x14ac:dyDescent="0.25">
      <c r="A55" t="s">
        <v>162</v>
      </c>
      <c r="B55" s="3">
        <v>43.509133437291148</v>
      </c>
      <c r="C55" s="3">
        <v>43.161060369792821</v>
      </c>
      <c r="E55" s="3">
        <f t="shared" si="0"/>
        <v>-0.34807306749832634</v>
      </c>
    </row>
    <row r="56" spans="1:5" x14ac:dyDescent="0.25">
      <c r="A56" t="s">
        <v>160</v>
      </c>
      <c r="B56" s="3">
        <v>31.0012050615628</v>
      </c>
      <c r="C56" s="3">
        <v>31.0012050615628</v>
      </c>
      <c r="E56" s="3">
        <f t="shared" si="0"/>
        <v>0</v>
      </c>
    </row>
    <row r="57" spans="1:5" x14ac:dyDescent="0.25">
      <c r="A57" t="s">
        <v>173</v>
      </c>
      <c r="B57" s="3">
        <v>27.504670917341247</v>
      </c>
      <c r="C57" s="3">
        <v>27.58269835256775</v>
      </c>
      <c r="E57" s="3">
        <f t="shared" si="0"/>
        <v>7.8027435226502462E-2</v>
      </c>
    </row>
    <row r="58" spans="1:5" x14ac:dyDescent="0.25">
      <c r="A58" t="s">
        <v>174</v>
      </c>
      <c r="B58" s="3">
        <v>26.016821640299788</v>
      </c>
      <c r="C58" s="3">
        <v>25.927824530925903</v>
      </c>
      <c r="E58" s="3">
        <f t="shared" si="0"/>
        <v>-8.8997109373885053E-2</v>
      </c>
    </row>
    <row r="59" spans="1:5" x14ac:dyDescent="0.25">
      <c r="A59" t="s">
        <v>175</v>
      </c>
      <c r="B59" s="3">
        <v>35.46794580021708</v>
      </c>
      <c r="C59" s="3">
        <v>35.292881901894198</v>
      </c>
      <c r="E59" s="3">
        <f t="shared" si="0"/>
        <v>-0.17506389832288249</v>
      </c>
    </row>
    <row r="60" spans="1:5" x14ac:dyDescent="0.25">
      <c r="A60" t="s">
        <v>187</v>
      </c>
      <c r="B60" s="3">
        <v>30.676378772112379</v>
      </c>
      <c r="C60" s="3">
        <v>30.75962539021852</v>
      </c>
      <c r="E60" s="3">
        <f t="shared" si="0"/>
        <v>8.3246618106141312E-2</v>
      </c>
    </row>
    <row r="61" spans="1:5" x14ac:dyDescent="0.25">
      <c r="A61" t="s">
        <v>186</v>
      </c>
      <c r="B61" s="3">
        <v>27.916685208259167</v>
      </c>
      <c r="C61" s="3">
        <v>28.507999999999999</v>
      </c>
      <c r="E61" s="3">
        <f t="shared" si="0"/>
        <v>0.59131479174083168</v>
      </c>
    </row>
    <row r="63" spans="1:5" x14ac:dyDescent="0.25">
      <c r="D63" s="25"/>
      <c r="E63" s="37"/>
    </row>
    <row r="65" spans="4:6" x14ac:dyDescent="0.25">
      <c r="D65" s="25"/>
      <c r="E65" s="27"/>
      <c r="F65" s="27"/>
    </row>
    <row r="66" spans="4:6" x14ac:dyDescent="0.25">
      <c r="D66" s="25"/>
      <c r="E66" s="27"/>
      <c r="F66" s="27"/>
    </row>
  </sheetData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M69"/>
  <sheetViews>
    <sheetView zoomScale="55" zoomScaleNormal="55" workbookViewId="0">
      <selection activeCell="AK12" sqref="AK12"/>
    </sheetView>
  </sheetViews>
  <sheetFormatPr defaultRowHeight="15" x14ac:dyDescent="0.25"/>
  <cols>
    <col min="10" max="10" width="9.140625" style="14"/>
    <col min="18" max="18" width="9.140625" style="14"/>
    <col min="26" max="26" width="9.140625" style="14"/>
  </cols>
  <sheetData>
    <row r="1" spans="1:33" s="25" customFormat="1" x14ac:dyDescent="0.25">
      <c r="A1" s="25" t="s">
        <v>0</v>
      </c>
      <c r="B1" s="25" t="s">
        <v>205</v>
      </c>
      <c r="C1" s="25" t="s">
        <v>206</v>
      </c>
      <c r="D1" s="25" t="s">
        <v>207</v>
      </c>
      <c r="E1" s="25" t="s">
        <v>208</v>
      </c>
      <c r="F1" s="25" t="s">
        <v>209</v>
      </c>
      <c r="G1" s="25" t="s">
        <v>210</v>
      </c>
      <c r="H1" s="25" t="s">
        <v>211</v>
      </c>
      <c r="I1" s="25" t="s">
        <v>212</v>
      </c>
      <c r="J1" s="25" t="s">
        <v>213</v>
      </c>
      <c r="K1" s="25" t="s">
        <v>214</v>
      </c>
      <c r="L1" s="25" t="s">
        <v>215</v>
      </c>
      <c r="M1" s="25" t="s">
        <v>216</v>
      </c>
      <c r="N1" s="25" t="s">
        <v>217</v>
      </c>
      <c r="O1" s="25" t="s">
        <v>218</v>
      </c>
      <c r="P1" s="25" t="s">
        <v>219</v>
      </c>
      <c r="Q1" s="25" t="s">
        <v>220</v>
      </c>
      <c r="R1" s="31" t="s">
        <v>221</v>
      </c>
      <c r="S1" s="25" t="s">
        <v>222</v>
      </c>
      <c r="T1" s="25" t="s">
        <v>223</v>
      </c>
      <c r="U1" s="25" t="s">
        <v>224</v>
      </c>
      <c r="V1" s="25" t="s">
        <v>225</v>
      </c>
      <c r="W1" s="25" t="s">
        <v>226</v>
      </c>
      <c r="X1" s="25" t="s">
        <v>227</v>
      </c>
      <c r="Y1" s="25" t="s">
        <v>228</v>
      </c>
      <c r="Z1" s="31" t="s">
        <v>229</v>
      </c>
      <c r="AA1" s="25" t="s">
        <v>230</v>
      </c>
      <c r="AB1" s="25" t="s">
        <v>231</v>
      </c>
      <c r="AC1" s="25" t="s">
        <v>232</v>
      </c>
      <c r="AD1" s="25" t="s">
        <v>233</v>
      </c>
      <c r="AE1" s="25" t="s">
        <v>234</v>
      </c>
      <c r="AF1" s="25" t="s">
        <v>235</v>
      </c>
      <c r="AG1" s="25" t="s">
        <v>236</v>
      </c>
    </row>
    <row r="2" spans="1:33" x14ac:dyDescent="0.25">
      <c r="A2" t="s">
        <v>3</v>
      </c>
      <c r="B2">
        <v>23</v>
      </c>
      <c r="C2">
        <v>30</v>
      </c>
      <c r="D2">
        <v>24</v>
      </c>
      <c r="E2">
        <v>5</v>
      </c>
      <c r="F2">
        <v>9</v>
      </c>
      <c r="G2">
        <v>22</v>
      </c>
      <c r="H2">
        <v>11</v>
      </c>
      <c r="I2">
        <v>15</v>
      </c>
      <c r="J2" s="18"/>
      <c r="K2" s="7"/>
      <c r="L2" s="7"/>
      <c r="M2" s="7"/>
      <c r="N2" s="7"/>
      <c r="O2" s="7"/>
      <c r="P2" s="7"/>
      <c r="Q2" s="7"/>
      <c r="R2" s="14">
        <v>32</v>
      </c>
      <c r="S2">
        <v>36</v>
      </c>
      <c r="T2">
        <v>23</v>
      </c>
      <c r="U2">
        <v>40</v>
      </c>
      <c r="V2">
        <v>19</v>
      </c>
      <c r="W2">
        <v>24</v>
      </c>
      <c r="X2">
        <v>14</v>
      </c>
      <c r="Y2">
        <v>19</v>
      </c>
      <c r="Z2" s="14">
        <v>39</v>
      </c>
      <c r="AA2">
        <v>29</v>
      </c>
      <c r="AB2">
        <v>40</v>
      </c>
      <c r="AC2">
        <v>17</v>
      </c>
      <c r="AD2">
        <v>30</v>
      </c>
      <c r="AE2">
        <v>13</v>
      </c>
      <c r="AF2">
        <v>31</v>
      </c>
      <c r="AG2">
        <v>26</v>
      </c>
    </row>
    <row r="3" spans="1:33" x14ac:dyDescent="0.25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18"/>
      <c r="K3" s="7"/>
      <c r="L3" s="7"/>
      <c r="M3" s="7"/>
      <c r="N3" s="7"/>
      <c r="O3" s="7"/>
      <c r="P3" s="7"/>
      <c r="Q3" s="7"/>
      <c r="R3" s="14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 s="14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</row>
    <row r="4" spans="1:33" x14ac:dyDescent="0.25">
      <c r="A4" t="s">
        <v>68</v>
      </c>
      <c r="B4">
        <v>6</v>
      </c>
      <c r="C4">
        <v>5</v>
      </c>
      <c r="D4">
        <v>7</v>
      </c>
      <c r="E4">
        <v>5</v>
      </c>
      <c r="F4">
        <v>9</v>
      </c>
      <c r="G4">
        <v>7</v>
      </c>
      <c r="H4">
        <v>10</v>
      </c>
      <c r="I4">
        <v>12</v>
      </c>
      <c r="J4" s="18"/>
      <c r="K4" s="7"/>
      <c r="L4" s="7"/>
      <c r="M4" s="7"/>
      <c r="N4" s="7"/>
      <c r="O4" s="7"/>
      <c r="P4" s="7"/>
      <c r="Q4" s="7"/>
      <c r="R4" s="14">
        <v>9</v>
      </c>
      <c r="S4">
        <v>6</v>
      </c>
      <c r="T4">
        <v>4</v>
      </c>
      <c r="U4">
        <v>5</v>
      </c>
      <c r="V4">
        <v>7</v>
      </c>
      <c r="W4">
        <v>6</v>
      </c>
      <c r="X4">
        <v>6</v>
      </c>
      <c r="Y4">
        <v>7</v>
      </c>
      <c r="Z4" s="14">
        <v>13</v>
      </c>
      <c r="AA4">
        <v>4</v>
      </c>
      <c r="AB4">
        <v>5</v>
      </c>
      <c r="AC4">
        <v>24</v>
      </c>
      <c r="AD4">
        <v>7</v>
      </c>
      <c r="AE4">
        <v>3</v>
      </c>
      <c r="AF4">
        <v>6</v>
      </c>
      <c r="AG4">
        <v>7</v>
      </c>
    </row>
    <row r="5" spans="1:33" x14ac:dyDescent="0.25">
      <c r="A5" t="s">
        <v>69</v>
      </c>
      <c r="B5">
        <v>56</v>
      </c>
      <c r="C5">
        <v>73</v>
      </c>
      <c r="D5">
        <v>63</v>
      </c>
      <c r="E5">
        <v>60</v>
      </c>
      <c r="F5">
        <v>42</v>
      </c>
      <c r="G5">
        <v>41</v>
      </c>
      <c r="H5">
        <v>42</v>
      </c>
      <c r="I5">
        <v>31</v>
      </c>
      <c r="J5" s="14">
        <v>7</v>
      </c>
      <c r="K5">
        <v>19</v>
      </c>
      <c r="L5">
        <v>6</v>
      </c>
      <c r="M5">
        <v>13</v>
      </c>
      <c r="N5">
        <v>5</v>
      </c>
      <c r="O5">
        <v>6</v>
      </c>
      <c r="P5">
        <v>3</v>
      </c>
      <c r="Q5">
        <v>4</v>
      </c>
      <c r="R5" s="14">
        <v>63</v>
      </c>
      <c r="S5">
        <v>90</v>
      </c>
      <c r="T5">
        <v>65</v>
      </c>
      <c r="U5">
        <v>63</v>
      </c>
      <c r="V5">
        <v>61</v>
      </c>
      <c r="W5">
        <v>59</v>
      </c>
      <c r="X5">
        <v>63</v>
      </c>
      <c r="Y5">
        <v>51</v>
      </c>
      <c r="Z5" s="14">
        <v>87</v>
      </c>
      <c r="AA5">
        <v>69</v>
      </c>
      <c r="AB5">
        <v>77</v>
      </c>
      <c r="AC5">
        <v>78</v>
      </c>
      <c r="AD5">
        <v>70</v>
      </c>
      <c r="AE5">
        <v>74</v>
      </c>
      <c r="AF5">
        <v>75</v>
      </c>
      <c r="AG5">
        <v>63</v>
      </c>
    </row>
    <row r="6" spans="1:33" x14ac:dyDescent="0.25">
      <c r="A6" t="s">
        <v>70</v>
      </c>
      <c r="B6">
        <v>27</v>
      </c>
      <c r="C6">
        <v>18</v>
      </c>
      <c r="D6">
        <v>1</v>
      </c>
      <c r="E6">
        <v>1</v>
      </c>
      <c r="F6">
        <v>18</v>
      </c>
      <c r="G6">
        <v>8</v>
      </c>
      <c r="H6">
        <v>19</v>
      </c>
      <c r="I6">
        <v>10</v>
      </c>
      <c r="J6" s="14">
        <v>5</v>
      </c>
      <c r="K6">
        <v>5</v>
      </c>
      <c r="L6">
        <v>1</v>
      </c>
      <c r="M6">
        <v>3</v>
      </c>
      <c r="N6">
        <v>5</v>
      </c>
      <c r="O6">
        <v>3</v>
      </c>
      <c r="P6">
        <v>5</v>
      </c>
      <c r="Q6">
        <v>3</v>
      </c>
      <c r="R6" s="14">
        <v>64</v>
      </c>
      <c r="S6">
        <v>19</v>
      </c>
      <c r="T6">
        <v>22</v>
      </c>
      <c r="U6">
        <v>55</v>
      </c>
      <c r="V6">
        <v>59</v>
      </c>
      <c r="W6">
        <v>27</v>
      </c>
      <c r="X6">
        <v>6</v>
      </c>
      <c r="Y6">
        <v>24</v>
      </c>
      <c r="Z6" s="14">
        <v>11</v>
      </c>
      <c r="AA6">
        <v>17</v>
      </c>
      <c r="AB6">
        <v>16</v>
      </c>
      <c r="AC6">
        <v>35</v>
      </c>
      <c r="AD6">
        <v>25</v>
      </c>
      <c r="AE6">
        <v>21</v>
      </c>
      <c r="AF6">
        <v>14</v>
      </c>
      <c r="AG6">
        <v>30</v>
      </c>
    </row>
    <row r="7" spans="1:33" x14ac:dyDescent="0.25">
      <c r="A7" t="s">
        <v>74</v>
      </c>
      <c r="B7">
        <v>16</v>
      </c>
      <c r="C7">
        <v>16</v>
      </c>
      <c r="D7">
        <v>23</v>
      </c>
      <c r="E7">
        <v>28</v>
      </c>
      <c r="F7">
        <v>30</v>
      </c>
      <c r="G7">
        <v>17</v>
      </c>
      <c r="H7">
        <v>24</v>
      </c>
      <c r="I7">
        <v>22</v>
      </c>
      <c r="J7" s="14">
        <v>23</v>
      </c>
      <c r="K7">
        <v>20</v>
      </c>
      <c r="L7">
        <v>19</v>
      </c>
      <c r="M7">
        <v>27</v>
      </c>
      <c r="N7">
        <v>28</v>
      </c>
      <c r="O7">
        <v>13</v>
      </c>
      <c r="P7">
        <v>27</v>
      </c>
      <c r="Q7">
        <v>17</v>
      </c>
      <c r="R7" s="14">
        <v>23</v>
      </c>
      <c r="S7">
        <v>30</v>
      </c>
      <c r="T7">
        <v>32</v>
      </c>
      <c r="U7">
        <v>22</v>
      </c>
      <c r="V7">
        <v>30</v>
      </c>
      <c r="W7">
        <v>18</v>
      </c>
      <c r="X7">
        <v>18</v>
      </c>
      <c r="Y7">
        <v>22</v>
      </c>
      <c r="Z7" s="14">
        <v>21</v>
      </c>
      <c r="AA7">
        <v>25</v>
      </c>
      <c r="AB7">
        <v>22</v>
      </c>
      <c r="AC7">
        <v>24</v>
      </c>
      <c r="AD7">
        <v>15</v>
      </c>
      <c r="AE7">
        <v>23</v>
      </c>
      <c r="AF7">
        <v>28</v>
      </c>
      <c r="AG7">
        <v>25</v>
      </c>
    </row>
    <row r="8" spans="1:33" x14ac:dyDescent="0.25">
      <c r="A8" t="s">
        <v>79</v>
      </c>
      <c r="B8">
        <v>6</v>
      </c>
      <c r="C8">
        <v>6</v>
      </c>
      <c r="D8">
        <v>45</v>
      </c>
      <c r="E8">
        <v>51</v>
      </c>
      <c r="F8">
        <v>25</v>
      </c>
      <c r="G8">
        <v>57</v>
      </c>
      <c r="H8">
        <v>97</v>
      </c>
      <c r="I8">
        <v>85</v>
      </c>
      <c r="J8" s="14">
        <v>8</v>
      </c>
      <c r="K8">
        <v>25</v>
      </c>
      <c r="L8">
        <v>10</v>
      </c>
      <c r="M8">
        <v>33</v>
      </c>
      <c r="N8">
        <v>14</v>
      </c>
      <c r="O8">
        <v>42</v>
      </c>
      <c r="P8">
        <v>39</v>
      </c>
      <c r="Q8">
        <v>21</v>
      </c>
      <c r="R8" s="14">
        <v>54</v>
      </c>
      <c r="S8">
        <v>10</v>
      </c>
      <c r="T8">
        <v>72</v>
      </c>
      <c r="U8">
        <v>51</v>
      </c>
      <c r="V8">
        <v>78</v>
      </c>
      <c r="W8">
        <v>92</v>
      </c>
      <c r="X8">
        <v>82</v>
      </c>
      <c r="Y8">
        <v>84</v>
      </c>
      <c r="Z8" s="14">
        <v>24</v>
      </c>
      <c r="AA8">
        <v>54</v>
      </c>
      <c r="AB8">
        <v>84</v>
      </c>
      <c r="AC8">
        <v>85</v>
      </c>
      <c r="AD8">
        <v>53</v>
      </c>
      <c r="AE8">
        <v>73</v>
      </c>
      <c r="AF8">
        <v>96</v>
      </c>
      <c r="AG8">
        <v>95</v>
      </c>
    </row>
    <row r="9" spans="1:33" x14ac:dyDescent="0.25">
      <c r="A9" t="s">
        <v>80</v>
      </c>
      <c r="B9">
        <v>53</v>
      </c>
      <c r="C9">
        <v>53</v>
      </c>
      <c r="D9">
        <v>5</v>
      </c>
      <c r="E9">
        <v>54</v>
      </c>
      <c r="F9">
        <v>49</v>
      </c>
      <c r="G9">
        <v>71</v>
      </c>
      <c r="H9">
        <v>37</v>
      </c>
      <c r="I9">
        <v>68</v>
      </c>
      <c r="J9" s="14">
        <v>46</v>
      </c>
      <c r="K9">
        <v>6</v>
      </c>
      <c r="L9">
        <v>55</v>
      </c>
      <c r="M9">
        <v>63</v>
      </c>
      <c r="N9">
        <v>54</v>
      </c>
      <c r="O9">
        <v>7</v>
      </c>
      <c r="P9">
        <v>20</v>
      </c>
      <c r="Q9">
        <v>39</v>
      </c>
      <c r="R9" s="14">
        <v>47</v>
      </c>
      <c r="S9">
        <v>69</v>
      </c>
      <c r="T9">
        <v>73</v>
      </c>
      <c r="U9" s="7"/>
      <c r="V9">
        <v>71</v>
      </c>
      <c r="W9">
        <v>72</v>
      </c>
      <c r="X9">
        <v>85</v>
      </c>
      <c r="Y9">
        <v>40</v>
      </c>
      <c r="Z9" s="14">
        <v>42</v>
      </c>
      <c r="AA9">
        <v>43</v>
      </c>
      <c r="AB9">
        <v>64</v>
      </c>
      <c r="AC9">
        <v>57</v>
      </c>
      <c r="AD9">
        <v>83</v>
      </c>
      <c r="AE9">
        <v>35</v>
      </c>
      <c r="AF9">
        <v>26</v>
      </c>
      <c r="AG9">
        <v>16</v>
      </c>
    </row>
    <row r="10" spans="1:33" x14ac:dyDescent="0.25">
      <c r="A10" t="s">
        <v>86</v>
      </c>
      <c r="B10">
        <v>10</v>
      </c>
      <c r="C10">
        <v>7</v>
      </c>
      <c r="D10">
        <v>11</v>
      </c>
      <c r="E10">
        <v>10</v>
      </c>
      <c r="F10">
        <v>3</v>
      </c>
      <c r="G10">
        <v>3</v>
      </c>
      <c r="H10">
        <v>4</v>
      </c>
      <c r="I10">
        <v>8</v>
      </c>
      <c r="J10" s="14">
        <v>1</v>
      </c>
      <c r="K10">
        <v>2</v>
      </c>
      <c r="L10">
        <v>19</v>
      </c>
      <c r="M10">
        <v>2</v>
      </c>
      <c r="N10">
        <v>3</v>
      </c>
      <c r="O10">
        <v>3</v>
      </c>
      <c r="P10">
        <v>8</v>
      </c>
      <c r="R10" s="14">
        <v>11</v>
      </c>
      <c r="S10">
        <v>31</v>
      </c>
      <c r="T10">
        <v>13</v>
      </c>
      <c r="U10">
        <v>17</v>
      </c>
      <c r="V10">
        <v>21</v>
      </c>
      <c r="W10">
        <v>1</v>
      </c>
      <c r="X10">
        <v>11</v>
      </c>
      <c r="Y10">
        <v>4</v>
      </c>
      <c r="Z10" s="14">
        <v>37</v>
      </c>
      <c r="AA10">
        <v>35</v>
      </c>
      <c r="AB10">
        <v>35</v>
      </c>
      <c r="AC10">
        <v>10</v>
      </c>
      <c r="AD10">
        <v>24</v>
      </c>
      <c r="AE10">
        <v>35</v>
      </c>
      <c r="AF10">
        <v>18</v>
      </c>
      <c r="AG10">
        <v>14</v>
      </c>
    </row>
    <row r="11" spans="1:33" x14ac:dyDescent="0.25">
      <c r="A11" t="s">
        <v>92</v>
      </c>
      <c r="B11">
        <v>0</v>
      </c>
      <c r="C11">
        <v>0</v>
      </c>
      <c r="D11">
        <v>0</v>
      </c>
      <c r="E11">
        <v>9</v>
      </c>
      <c r="F11">
        <v>5</v>
      </c>
      <c r="G11">
        <v>0</v>
      </c>
      <c r="H11">
        <v>0</v>
      </c>
      <c r="I11">
        <v>2</v>
      </c>
      <c r="J11" s="14">
        <v>3</v>
      </c>
      <c r="K11">
        <v>0</v>
      </c>
      <c r="L11">
        <v>11</v>
      </c>
      <c r="M11">
        <v>11</v>
      </c>
      <c r="N11">
        <v>13</v>
      </c>
      <c r="O11">
        <v>1</v>
      </c>
      <c r="P11">
        <v>0</v>
      </c>
      <c r="Q11">
        <v>18</v>
      </c>
      <c r="R11" s="14">
        <v>3</v>
      </c>
      <c r="S11">
        <v>18</v>
      </c>
      <c r="T11">
        <v>17</v>
      </c>
      <c r="U11">
        <v>5</v>
      </c>
      <c r="V11">
        <v>7</v>
      </c>
      <c r="W11">
        <v>15</v>
      </c>
      <c r="X11">
        <v>9</v>
      </c>
      <c r="Y11">
        <v>15</v>
      </c>
      <c r="Z11" s="14">
        <v>13</v>
      </c>
      <c r="AA11">
        <v>16</v>
      </c>
      <c r="AB11">
        <v>8</v>
      </c>
      <c r="AC11">
        <v>20</v>
      </c>
      <c r="AD11">
        <v>0</v>
      </c>
      <c r="AE11">
        <v>6</v>
      </c>
      <c r="AF11">
        <v>9</v>
      </c>
      <c r="AG11">
        <v>7</v>
      </c>
    </row>
    <row r="12" spans="1:33" x14ac:dyDescent="0.25">
      <c r="A12" t="s">
        <v>93</v>
      </c>
      <c r="B12">
        <v>2</v>
      </c>
      <c r="C12">
        <v>6</v>
      </c>
      <c r="D12">
        <v>7</v>
      </c>
      <c r="E12">
        <v>19</v>
      </c>
      <c r="F12">
        <v>11</v>
      </c>
      <c r="G12">
        <v>17</v>
      </c>
      <c r="H12">
        <v>24</v>
      </c>
      <c r="I12">
        <v>16</v>
      </c>
      <c r="J12" s="14">
        <v>2</v>
      </c>
      <c r="K12">
        <v>15</v>
      </c>
      <c r="L12">
        <v>5</v>
      </c>
      <c r="M12">
        <v>13</v>
      </c>
      <c r="N12">
        <v>19</v>
      </c>
      <c r="O12">
        <v>15</v>
      </c>
      <c r="P12">
        <v>13</v>
      </c>
      <c r="Q12">
        <v>9</v>
      </c>
      <c r="R12" s="14">
        <v>5</v>
      </c>
      <c r="S12">
        <v>4</v>
      </c>
      <c r="T12">
        <v>19</v>
      </c>
      <c r="U12">
        <v>13</v>
      </c>
      <c r="V12">
        <v>17</v>
      </c>
      <c r="W12">
        <v>25</v>
      </c>
      <c r="X12">
        <v>13</v>
      </c>
      <c r="Y12">
        <v>16</v>
      </c>
      <c r="Z12" s="14">
        <v>10</v>
      </c>
      <c r="AA12">
        <v>8</v>
      </c>
      <c r="AB12">
        <v>13</v>
      </c>
      <c r="AC12">
        <v>19</v>
      </c>
      <c r="AD12">
        <v>32</v>
      </c>
      <c r="AE12">
        <v>17</v>
      </c>
      <c r="AF12">
        <v>15</v>
      </c>
      <c r="AG12">
        <v>18</v>
      </c>
    </row>
    <row r="13" spans="1:33" x14ac:dyDescent="0.25">
      <c r="A13" t="s">
        <v>110</v>
      </c>
      <c r="B13">
        <v>1</v>
      </c>
      <c r="C13">
        <v>0</v>
      </c>
      <c r="D13">
        <v>0</v>
      </c>
      <c r="E13">
        <v>0</v>
      </c>
      <c r="F13">
        <v>1</v>
      </c>
      <c r="G13">
        <v>0</v>
      </c>
      <c r="H13">
        <v>0</v>
      </c>
      <c r="I13">
        <v>0</v>
      </c>
      <c r="J13" s="14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 s="14">
        <v>1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 s="14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33" x14ac:dyDescent="0.25">
      <c r="A14" t="s">
        <v>120</v>
      </c>
      <c r="B14">
        <v>6</v>
      </c>
      <c r="C14">
        <v>13</v>
      </c>
      <c r="D14">
        <v>18</v>
      </c>
      <c r="E14">
        <v>23</v>
      </c>
      <c r="F14">
        <v>21</v>
      </c>
      <c r="G14">
        <v>16</v>
      </c>
      <c r="H14">
        <v>10</v>
      </c>
      <c r="I14">
        <v>19</v>
      </c>
      <c r="J14" s="14">
        <v>4</v>
      </c>
      <c r="K14">
        <v>10</v>
      </c>
      <c r="L14">
        <v>2</v>
      </c>
      <c r="M14">
        <v>5</v>
      </c>
      <c r="N14">
        <v>3</v>
      </c>
      <c r="O14">
        <v>5</v>
      </c>
      <c r="P14">
        <v>4</v>
      </c>
      <c r="Q14">
        <v>9</v>
      </c>
      <c r="R14" s="14">
        <v>24</v>
      </c>
      <c r="S14">
        <v>25</v>
      </c>
      <c r="T14">
        <v>10</v>
      </c>
      <c r="U14">
        <v>26</v>
      </c>
      <c r="V14">
        <v>22</v>
      </c>
      <c r="W14">
        <v>20</v>
      </c>
      <c r="X14">
        <v>15</v>
      </c>
      <c r="Y14">
        <v>20</v>
      </c>
      <c r="Z14" s="14">
        <v>20</v>
      </c>
      <c r="AA14">
        <v>17</v>
      </c>
      <c r="AB14">
        <v>27</v>
      </c>
      <c r="AC14">
        <v>28</v>
      </c>
      <c r="AD14">
        <v>13</v>
      </c>
      <c r="AE14">
        <v>26</v>
      </c>
      <c r="AF14">
        <v>23</v>
      </c>
      <c r="AG14">
        <v>37</v>
      </c>
    </row>
    <row r="15" spans="1:33" x14ac:dyDescent="0.25">
      <c r="A15" t="s">
        <v>125</v>
      </c>
      <c r="B15">
        <v>16</v>
      </c>
      <c r="C15">
        <v>15</v>
      </c>
      <c r="D15">
        <v>26</v>
      </c>
      <c r="E15">
        <v>15</v>
      </c>
      <c r="F15">
        <v>33</v>
      </c>
      <c r="G15">
        <v>22</v>
      </c>
      <c r="H15">
        <v>21</v>
      </c>
      <c r="I15">
        <v>33</v>
      </c>
      <c r="J15" s="14">
        <v>10</v>
      </c>
      <c r="K15">
        <v>30</v>
      </c>
      <c r="L15">
        <v>13</v>
      </c>
      <c r="M15">
        <v>16</v>
      </c>
      <c r="N15">
        <v>13</v>
      </c>
      <c r="O15">
        <v>20</v>
      </c>
      <c r="P15">
        <v>15</v>
      </c>
      <c r="Q15">
        <v>23</v>
      </c>
      <c r="R15" s="14">
        <v>60</v>
      </c>
      <c r="S15">
        <v>38</v>
      </c>
      <c r="T15">
        <v>43</v>
      </c>
      <c r="U15">
        <v>31</v>
      </c>
      <c r="V15">
        <v>7</v>
      </c>
      <c r="W15">
        <v>62</v>
      </c>
      <c r="X15">
        <v>36</v>
      </c>
      <c r="Y15">
        <v>58</v>
      </c>
      <c r="Z15" s="14">
        <v>70</v>
      </c>
      <c r="AA15">
        <v>40</v>
      </c>
      <c r="AB15">
        <v>51</v>
      </c>
      <c r="AC15">
        <v>65</v>
      </c>
      <c r="AD15">
        <v>47</v>
      </c>
      <c r="AE15">
        <v>62</v>
      </c>
      <c r="AF15">
        <v>30</v>
      </c>
      <c r="AG15">
        <v>61</v>
      </c>
    </row>
    <row r="16" spans="1:33" x14ac:dyDescent="0.25">
      <c r="A16" t="s">
        <v>130</v>
      </c>
      <c r="B16">
        <v>7</v>
      </c>
      <c r="C16">
        <v>4</v>
      </c>
      <c r="D16">
        <v>14</v>
      </c>
      <c r="E16">
        <v>10</v>
      </c>
      <c r="F16">
        <v>31</v>
      </c>
      <c r="G16">
        <v>21</v>
      </c>
      <c r="H16">
        <v>19</v>
      </c>
      <c r="I16">
        <v>11</v>
      </c>
      <c r="J16" s="14">
        <v>3</v>
      </c>
      <c r="K16">
        <v>3</v>
      </c>
      <c r="L16">
        <v>49</v>
      </c>
      <c r="M16">
        <v>19</v>
      </c>
      <c r="N16">
        <v>25</v>
      </c>
      <c r="O16">
        <v>12</v>
      </c>
      <c r="P16">
        <v>18</v>
      </c>
      <c r="Q16">
        <v>18</v>
      </c>
      <c r="R16" s="14">
        <v>38</v>
      </c>
      <c r="S16">
        <v>8</v>
      </c>
      <c r="T16">
        <v>43</v>
      </c>
      <c r="U16">
        <v>41</v>
      </c>
      <c r="V16">
        <v>40</v>
      </c>
      <c r="W16">
        <v>33</v>
      </c>
      <c r="X16">
        <v>15</v>
      </c>
      <c r="Y16">
        <v>21</v>
      </c>
      <c r="Z16" s="14">
        <v>20</v>
      </c>
      <c r="AA16">
        <v>64</v>
      </c>
      <c r="AB16">
        <v>47</v>
      </c>
      <c r="AC16">
        <v>6</v>
      </c>
      <c r="AD16">
        <v>9</v>
      </c>
      <c r="AE16">
        <v>9</v>
      </c>
      <c r="AF16">
        <v>24</v>
      </c>
      <c r="AG16">
        <v>27</v>
      </c>
    </row>
    <row r="17" spans="1:33" x14ac:dyDescent="0.25">
      <c r="A17" t="s">
        <v>145</v>
      </c>
      <c r="B17">
        <v>14</v>
      </c>
      <c r="C17">
        <v>13</v>
      </c>
      <c r="D17" s="7"/>
      <c r="E17">
        <v>43</v>
      </c>
      <c r="F17">
        <v>29</v>
      </c>
      <c r="G17">
        <v>18</v>
      </c>
      <c r="H17">
        <v>52</v>
      </c>
      <c r="I17">
        <v>18</v>
      </c>
      <c r="J17" s="14">
        <v>5</v>
      </c>
      <c r="K17">
        <v>24</v>
      </c>
      <c r="L17" s="7"/>
      <c r="M17">
        <v>46</v>
      </c>
      <c r="N17">
        <v>24</v>
      </c>
      <c r="O17">
        <v>25</v>
      </c>
      <c r="P17">
        <v>52</v>
      </c>
      <c r="Q17" s="7"/>
      <c r="R17" s="14">
        <v>39</v>
      </c>
      <c r="S17">
        <v>33</v>
      </c>
      <c r="T17">
        <v>59</v>
      </c>
      <c r="U17">
        <v>54</v>
      </c>
      <c r="V17">
        <v>33</v>
      </c>
      <c r="W17">
        <v>18</v>
      </c>
      <c r="X17">
        <v>47</v>
      </c>
      <c r="Y17" s="7"/>
      <c r="Z17" s="14">
        <v>55</v>
      </c>
      <c r="AA17">
        <v>46</v>
      </c>
      <c r="AB17">
        <v>58</v>
      </c>
      <c r="AC17">
        <v>66</v>
      </c>
      <c r="AD17">
        <v>62</v>
      </c>
      <c r="AE17">
        <v>60</v>
      </c>
      <c r="AF17">
        <v>58</v>
      </c>
      <c r="AG17" s="7"/>
    </row>
    <row r="18" spans="1:33" x14ac:dyDescent="0.25">
      <c r="A18" t="s">
        <v>144</v>
      </c>
      <c r="B18">
        <v>25</v>
      </c>
      <c r="C18">
        <v>27</v>
      </c>
      <c r="D18">
        <v>32</v>
      </c>
      <c r="E18">
        <v>21</v>
      </c>
      <c r="F18">
        <v>28</v>
      </c>
      <c r="G18">
        <v>28</v>
      </c>
      <c r="H18">
        <v>63</v>
      </c>
      <c r="I18">
        <v>19</v>
      </c>
      <c r="J18" s="14">
        <v>33</v>
      </c>
      <c r="K18">
        <v>24</v>
      </c>
      <c r="L18">
        <v>20</v>
      </c>
      <c r="M18">
        <v>28</v>
      </c>
      <c r="N18">
        <v>53</v>
      </c>
      <c r="O18">
        <v>51</v>
      </c>
      <c r="P18">
        <v>77</v>
      </c>
      <c r="Q18">
        <v>48</v>
      </c>
      <c r="R18" s="14">
        <v>55</v>
      </c>
      <c r="S18">
        <v>51</v>
      </c>
      <c r="T18">
        <v>51</v>
      </c>
      <c r="U18">
        <v>62</v>
      </c>
      <c r="V18">
        <v>57</v>
      </c>
      <c r="W18">
        <v>30</v>
      </c>
      <c r="X18">
        <v>42</v>
      </c>
      <c r="Y18">
        <v>46</v>
      </c>
      <c r="Z18" s="14">
        <v>71</v>
      </c>
      <c r="AA18">
        <v>62</v>
      </c>
      <c r="AB18">
        <v>73</v>
      </c>
      <c r="AC18">
        <v>67</v>
      </c>
      <c r="AD18">
        <v>67</v>
      </c>
      <c r="AE18">
        <v>68</v>
      </c>
      <c r="AF18">
        <v>47</v>
      </c>
      <c r="AG18">
        <v>46</v>
      </c>
    </row>
    <row r="19" spans="1:33" x14ac:dyDescent="0.25">
      <c r="A19" t="s">
        <v>132</v>
      </c>
      <c r="B19">
        <v>42</v>
      </c>
      <c r="C19">
        <v>52</v>
      </c>
      <c r="D19">
        <v>49</v>
      </c>
      <c r="E19">
        <v>40</v>
      </c>
      <c r="F19">
        <v>38</v>
      </c>
      <c r="G19">
        <v>41</v>
      </c>
      <c r="H19">
        <v>43</v>
      </c>
      <c r="I19">
        <v>43</v>
      </c>
      <c r="J19" s="14">
        <v>24</v>
      </c>
      <c r="K19">
        <v>42</v>
      </c>
      <c r="L19">
        <v>29</v>
      </c>
      <c r="M19">
        <v>62</v>
      </c>
      <c r="N19">
        <v>32</v>
      </c>
      <c r="O19">
        <v>34</v>
      </c>
      <c r="P19">
        <v>30</v>
      </c>
      <c r="Q19">
        <v>34</v>
      </c>
      <c r="R19" s="14">
        <v>65</v>
      </c>
      <c r="S19">
        <v>46</v>
      </c>
      <c r="T19">
        <v>43</v>
      </c>
      <c r="U19">
        <v>68</v>
      </c>
      <c r="V19">
        <v>54</v>
      </c>
      <c r="W19">
        <v>56</v>
      </c>
      <c r="X19">
        <v>41</v>
      </c>
      <c r="Y19">
        <v>62</v>
      </c>
      <c r="Z19" s="14">
        <v>82</v>
      </c>
      <c r="AA19">
        <v>56</v>
      </c>
      <c r="AB19">
        <v>61</v>
      </c>
      <c r="AC19">
        <v>65</v>
      </c>
      <c r="AD19">
        <v>61</v>
      </c>
      <c r="AE19">
        <v>49</v>
      </c>
      <c r="AF19">
        <v>40</v>
      </c>
      <c r="AG19">
        <v>66</v>
      </c>
    </row>
    <row r="20" spans="1:33" x14ac:dyDescent="0.25">
      <c r="A20" t="s">
        <v>146</v>
      </c>
      <c r="B20">
        <v>5</v>
      </c>
      <c r="C20">
        <v>12</v>
      </c>
      <c r="D20">
        <v>19</v>
      </c>
      <c r="E20">
        <v>9</v>
      </c>
      <c r="F20">
        <v>3</v>
      </c>
      <c r="G20">
        <v>4</v>
      </c>
      <c r="H20">
        <v>7</v>
      </c>
      <c r="I20">
        <v>8</v>
      </c>
      <c r="J20" s="14">
        <v>0</v>
      </c>
      <c r="K20">
        <v>3</v>
      </c>
      <c r="L20">
        <v>3</v>
      </c>
      <c r="M20">
        <v>1</v>
      </c>
      <c r="N20">
        <v>2</v>
      </c>
      <c r="O20">
        <v>3</v>
      </c>
      <c r="P20">
        <v>3</v>
      </c>
      <c r="Q20">
        <v>5</v>
      </c>
      <c r="R20" s="14">
        <v>17</v>
      </c>
      <c r="S20">
        <v>36</v>
      </c>
      <c r="T20">
        <v>54</v>
      </c>
      <c r="U20">
        <v>21</v>
      </c>
      <c r="V20">
        <v>16</v>
      </c>
      <c r="W20">
        <v>29</v>
      </c>
      <c r="X20" s="7"/>
      <c r="Y20">
        <v>44</v>
      </c>
      <c r="Z20" s="14">
        <v>44</v>
      </c>
      <c r="AA20">
        <v>40</v>
      </c>
      <c r="AB20" s="5"/>
      <c r="AC20">
        <v>46</v>
      </c>
      <c r="AD20">
        <v>20</v>
      </c>
      <c r="AE20">
        <v>38</v>
      </c>
      <c r="AF20" s="7"/>
      <c r="AG20">
        <v>30</v>
      </c>
    </row>
    <row r="21" spans="1:33" x14ac:dyDescent="0.25">
      <c r="A21" t="s">
        <v>147</v>
      </c>
      <c r="B21">
        <v>63</v>
      </c>
      <c r="C21">
        <v>49</v>
      </c>
      <c r="D21">
        <v>30</v>
      </c>
      <c r="E21">
        <v>6</v>
      </c>
      <c r="F21">
        <v>60</v>
      </c>
      <c r="G21">
        <v>61</v>
      </c>
      <c r="H21">
        <v>15</v>
      </c>
      <c r="I21">
        <v>30</v>
      </c>
      <c r="J21" s="14">
        <v>4</v>
      </c>
      <c r="K21">
        <v>5</v>
      </c>
      <c r="L21" s="7"/>
      <c r="M21">
        <v>3</v>
      </c>
      <c r="N21">
        <v>17</v>
      </c>
      <c r="O21">
        <v>20</v>
      </c>
      <c r="P21">
        <v>20</v>
      </c>
      <c r="Q21">
        <v>3</v>
      </c>
      <c r="R21" s="14">
        <v>40</v>
      </c>
      <c r="S21">
        <v>94</v>
      </c>
      <c r="T21" s="7"/>
      <c r="U21">
        <v>5</v>
      </c>
      <c r="V21">
        <v>78</v>
      </c>
      <c r="W21">
        <v>81</v>
      </c>
      <c r="X21">
        <v>79</v>
      </c>
      <c r="Y21">
        <v>69</v>
      </c>
      <c r="Z21" s="14">
        <v>91</v>
      </c>
      <c r="AA21">
        <v>87</v>
      </c>
      <c r="AB21">
        <v>81</v>
      </c>
      <c r="AC21">
        <v>18</v>
      </c>
      <c r="AD21">
        <v>37</v>
      </c>
      <c r="AE21">
        <v>45</v>
      </c>
      <c r="AF21" s="7"/>
      <c r="AG21">
        <v>45</v>
      </c>
    </row>
    <row r="22" spans="1:33" x14ac:dyDescent="0.25">
      <c r="A22" t="s">
        <v>155</v>
      </c>
      <c r="B22">
        <v>0</v>
      </c>
      <c r="C22">
        <v>2</v>
      </c>
      <c r="D22">
        <v>0</v>
      </c>
      <c r="E22">
        <v>1</v>
      </c>
      <c r="F22">
        <v>1</v>
      </c>
      <c r="G22">
        <v>1</v>
      </c>
      <c r="H22">
        <v>1</v>
      </c>
      <c r="I22">
        <v>1</v>
      </c>
      <c r="J22" s="14">
        <v>37</v>
      </c>
      <c r="K22">
        <v>38</v>
      </c>
      <c r="L22">
        <v>19</v>
      </c>
      <c r="M22">
        <v>1</v>
      </c>
      <c r="N22">
        <v>2</v>
      </c>
      <c r="O22">
        <v>2</v>
      </c>
      <c r="P22">
        <v>2</v>
      </c>
      <c r="Q22">
        <v>2</v>
      </c>
      <c r="R22" s="14">
        <v>2</v>
      </c>
      <c r="S22">
        <v>42</v>
      </c>
      <c r="T22">
        <v>0</v>
      </c>
      <c r="U22">
        <v>0</v>
      </c>
      <c r="V22">
        <v>1</v>
      </c>
      <c r="W22">
        <v>2</v>
      </c>
      <c r="X22">
        <v>1</v>
      </c>
      <c r="Y22">
        <v>2</v>
      </c>
      <c r="Z22" s="14">
        <v>3</v>
      </c>
      <c r="AA22">
        <v>1</v>
      </c>
      <c r="AB22">
        <v>1</v>
      </c>
      <c r="AC22">
        <v>1</v>
      </c>
      <c r="AD22">
        <v>2</v>
      </c>
      <c r="AE22">
        <v>1</v>
      </c>
      <c r="AF22">
        <v>0</v>
      </c>
      <c r="AG22">
        <v>1</v>
      </c>
    </row>
    <row r="23" spans="1:33" x14ac:dyDescent="0.25">
      <c r="A23" t="s">
        <v>158</v>
      </c>
      <c r="B23">
        <v>61</v>
      </c>
      <c r="C23">
        <v>49</v>
      </c>
      <c r="D23">
        <v>28</v>
      </c>
      <c r="E23">
        <v>67</v>
      </c>
      <c r="F23">
        <v>15</v>
      </c>
      <c r="G23">
        <v>10</v>
      </c>
      <c r="H23">
        <v>67</v>
      </c>
      <c r="I23">
        <v>55</v>
      </c>
      <c r="J23" s="14">
        <v>13</v>
      </c>
      <c r="K23">
        <v>72</v>
      </c>
      <c r="L23" s="7"/>
      <c r="M23">
        <v>3</v>
      </c>
      <c r="N23">
        <v>4</v>
      </c>
      <c r="O23">
        <v>4</v>
      </c>
      <c r="P23">
        <v>6</v>
      </c>
      <c r="Q23">
        <v>8</v>
      </c>
      <c r="R23" s="14">
        <v>46</v>
      </c>
      <c r="S23">
        <v>48</v>
      </c>
      <c r="T23">
        <v>81</v>
      </c>
      <c r="U23">
        <v>89</v>
      </c>
      <c r="V23" s="7"/>
      <c r="W23">
        <v>83</v>
      </c>
      <c r="X23">
        <v>82</v>
      </c>
      <c r="Y23">
        <v>84</v>
      </c>
      <c r="Z23" s="18"/>
      <c r="AA23" s="7"/>
      <c r="AB23">
        <v>74</v>
      </c>
      <c r="AC23" s="7"/>
      <c r="AD23" s="7"/>
      <c r="AE23" s="7"/>
      <c r="AF23">
        <v>84</v>
      </c>
      <c r="AG23">
        <v>88</v>
      </c>
    </row>
    <row r="24" spans="1:33" x14ac:dyDescent="0.25">
      <c r="A24" t="s">
        <v>162</v>
      </c>
      <c r="B24">
        <v>9</v>
      </c>
      <c r="C24">
        <v>8</v>
      </c>
      <c r="D24">
        <v>14</v>
      </c>
      <c r="E24">
        <v>6</v>
      </c>
      <c r="F24">
        <v>13</v>
      </c>
      <c r="G24">
        <v>12</v>
      </c>
      <c r="H24">
        <v>14</v>
      </c>
      <c r="I24">
        <v>14</v>
      </c>
      <c r="J24" s="14">
        <v>13</v>
      </c>
      <c r="K24">
        <v>11</v>
      </c>
      <c r="L24">
        <v>11</v>
      </c>
      <c r="M24">
        <v>15</v>
      </c>
      <c r="N24">
        <v>8</v>
      </c>
      <c r="O24">
        <v>14</v>
      </c>
      <c r="P24">
        <v>6</v>
      </c>
      <c r="Q24">
        <v>13</v>
      </c>
      <c r="R24" s="14">
        <v>14</v>
      </c>
      <c r="S24">
        <v>15</v>
      </c>
      <c r="T24">
        <v>18</v>
      </c>
      <c r="U24">
        <v>10</v>
      </c>
      <c r="V24">
        <v>9</v>
      </c>
      <c r="W24">
        <v>11</v>
      </c>
      <c r="X24">
        <v>12</v>
      </c>
      <c r="Y24">
        <v>11</v>
      </c>
      <c r="Z24" s="14">
        <v>11</v>
      </c>
      <c r="AA24">
        <v>17</v>
      </c>
      <c r="AB24">
        <v>14</v>
      </c>
      <c r="AC24">
        <v>14</v>
      </c>
      <c r="AD24">
        <v>16</v>
      </c>
      <c r="AE24">
        <v>16</v>
      </c>
      <c r="AF24">
        <v>12</v>
      </c>
      <c r="AG24">
        <v>10</v>
      </c>
    </row>
    <row r="25" spans="1:33" x14ac:dyDescent="0.25">
      <c r="A25" t="s">
        <v>160</v>
      </c>
      <c r="B25">
        <v>2</v>
      </c>
      <c r="C25">
        <v>4</v>
      </c>
      <c r="D25">
        <v>3</v>
      </c>
      <c r="E25">
        <v>3</v>
      </c>
      <c r="F25">
        <v>3</v>
      </c>
      <c r="G25">
        <v>4</v>
      </c>
      <c r="H25">
        <v>3</v>
      </c>
      <c r="I25">
        <v>5</v>
      </c>
      <c r="J25" s="14">
        <v>3</v>
      </c>
      <c r="K25">
        <v>5</v>
      </c>
      <c r="L25">
        <v>7</v>
      </c>
      <c r="M25">
        <v>8</v>
      </c>
      <c r="N25">
        <v>11</v>
      </c>
      <c r="O25">
        <v>5</v>
      </c>
      <c r="P25">
        <v>9</v>
      </c>
      <c r="Q25">
        <v>10</v>
      </c>
      <c r="R25" s="14">
        <v>11</v>
      </c>
      <c r="S25">
        <v>7</v>
      </c>
      <c r="T25">
        <v>8</v>
      </c>
      <c r="U25">
        <v>22</v>
      </c>
      <c r="V25">
        <v>27</v>
      </c>
      <c r="W25">
        <v>26</v>
      </c>
      <c r="X25">
        <v>20</v>
      </c>
      <c r="Y25">
        <v>24</v>
      </c>
      <c r="Z25" s="14">
        <v>22</v>
      </c>
      <c r="AA25">
        <v>15</v>
      </c>
      <c r="AB25">
        <v>26</v>
      </c>
      <c r="AC25">
        <v>18</v>
      </c>
      <c r="AD25">
        <v>34</v>
      </c>
      <c r="AE25">
        <v>5</v>
      </c>
      <c r="AF25">
        <v>14</v>
      </c>
      <c r="AG25">
        <v>22</v>
      </c>
    </row>
    <row r="26" spans="1:33" x14ac:dyDescent="0.25">
      <c r="A26" t="s">
        <v>173</v>
      </c>
      <c r="B26">
        <v>25</v>
      </c>
      <c r="C26">
        <v>17</v>
      </c>
      <c r="D26">
        <v>24</v>
      </c>
      <c r="E26">
        <v>24</v>
      </c>
      <c r="F26">
        <v>18</v>
      </c>
      <c r="G26">
        <v>9</v>
      </c>
      <c r="H26">
        <v>15</v>
      </c>
      <c r="I26">
        <v>14</v>
      </c>
      <c r="J26" s="14">
        <v>18</v>
      </c>
      <c r="K26">
        <v>29</v>
      </c>
      <c r="L26">
        <v>39</v>
      </c>
      <c r="M26">
        <v>10</v>
      </c>
      <c r="N26">
        <v>11</v>
      </c>
      <c r="O26">
        <v>34</v>
      </c>
      <c r="P26">
        <v>32</v>
      </c>
      <c r="Q26">
        <v>14</v>
      </c>
      <c r="R26" s="14">
        <v>52</v>
      </c>
      <c r="S26">
        <v>31</v>
      </c>
      <c r="T26">
        <v>38</v>
      </c>
      <c r="U26">
        <v>51</v>
      </c>
      <c r="V26">
        <v>21</v>
      </c>
      <c r="W26">
        <v>21</v>
      </c>
      <c r="X26">
        <v>35</v>
      </c>
      <c r="Y26">
        <v>13</v>
      </c>
      <c r="Z26" s="14">
        <v>48</v>
      </c>
      <c r="AA26">
        <v>39</v>
      </c>
      <c r="AB26">
        <v>57</v>
      </c>
      <c r="AC26">
        <v>52</v>
      </c>
      <c r="AD26">
        <v>24</v>
      </c>
      <c r="AE26">
        <v>49</v>
      </c>
      <c r="AF26">
        <v>47</v>
      </c>
      <c r="AG26">
        <v>50</v>
      </c>
    </row>
    <row r="27" spans="1:33" x14ac:dyDescent="0.25">
      <c r="A27" t="s">
        <v>174</v>
      </c>
      <c r="B27">
        <v>2</v>
      </c>
      <c r="C27">
        <v>2</v>
      </c>
      <c r="D27">
        <v>3</v>
      </c>
      <c r="E27">
        <v>5</v>
      </c>
      <c r="F27">
        <v>3</v>
      </c>
      <c r="G27">
        <v>3</v>
      </c>
      <c r="H27">
        <v>3</v>
      </c>
      <c r="I27">
        <v>4</v>
      </c>
      <c r="J27" s="14">
        <v>2</v>
      </c>
      <c r="K27">
        <v>3</v>
      </c>
      <c r="L27">
        <v>2</v>
      </c>
      <c r="M27">
        <v>2</v>
      </c>
      <c r="N27">
        <v>2</v>
      </c>
      <c r="O27">
        <v>3</v>
      </c>
      <c r="P27">
        <v>2</v>
      </c>
      <c r="Q27">
        <v>2</v>
      </c>
      <c r="R27" s="14">
        <v>2</v>
      </c>
      <c r="S27">
        <v>3</v>
      </c>
      <c r="T27">
        <v>5</v>
      </c>
      <c r="U27">
        <v>3</v>
      </c>
      <c r="V27">
        <v>3</v>
      </c>
      <c r="W27">
        <v>2</v>
      </c>
      <c r="X27">
        <v>3</v>
      </c>
      <c r="Y27">
        <v>8</v>
      </c>
      <c r="Z27" s="14">
        <v>3</v>
      </c>
      <c r="AA27">
        <v>4</v>
      </c>
      <c r="AB27">
        <v>4</v>
      </c>
      <c r="AC27">
        <v>3</v>
      </c>
      <c r="AD27">
        <v>2</v>
      </c>
      <c r="AE27">
        <v>7</v>
      </c>
      <c r="AF27">
        <v>2</v>
      </c>
      <c r="AG27">
        <v>3</v>
      </c>
    </row>
    <row r="28" spans="1:33" x14ac:dyDescent="0.25">
      <c r="A28" t="s">
        <v>175</v>
      </c>
      <c r="B28">
        <v>30</v>
      </c>
      <c r="C28">
        <v>41</v>
      </c>
      <c r="D28">
        <v>40</v>
      </c>
      <c r="E28">
        <v>54</v>
      </c>
      <c r="F28">
        <v>40</v>
      </c>
      <c r="G28">
        <v>37</v>
      </c>
      <c r="H28">
        <v>22</v>
      </c>
      <c r="I28">
        <v>44</v>
      </c>
      <c r="J28" s="14">
        <v>39</v>
      </c>
      <c r="K28">
        <v>30</v>
      </c>
      <c r="L28">
        <v>43</v>
      </c>
      <c r="M28">
        <v>36</v>
      </c>
      <c r="N28">
        <v>40</v>
      </c>
      <c r="O28">
        <v>47</v>
      </c>
      <c r="P28">
        <v>24</v>
      </c>
      <c r="Q28">
        <v>65</v>
      </c>
      <c r="R28" s="14">
        <v>40</v>
      </c>
      <c r="S28">
        <v>37</v>
      </c>
      <c r="T28">
        <v>46</v>
      </c>
      <c r="U28">
        <v>73</v>
      </c>
      <c r="V28">
        <v>53</v>
      </c>
      <c r="W28">
        <v>40</v>
      </c>
      <c r="X28">
        <v>69</v>
      </c>
      <c r="Y28">
        <v>71</v>
      </c>
      <c r="Z28" s="14">
        <v>61</v>
      </c>
      <c r="AA28">
        <v>49</v>
      </c>
      <c r="AB28">
        <v>45</v>
      </c>
      <c r="AC28">
        <v>48</v>
      </c>
      <c r="AD28">
        <v>53</v>
      </c>
      <c r="AE28">
        <v>44</v>
      </c>
      <c r="AF28">
        <v>55</v>
      </c>
      <c r="AG28">
        <v>39</v>
      </c>
    </row>
    <row r="29" spans="1:33" x14ac:dyDescent="0.25">
      <c r="A29" t="s">
        <v>187</v>
      </c>
      <c r="B29">
        <v>35</v>
      </c>
      <c r="C29">
        <v>31</v>
      </c>
      <c r="D29">
        <v>33</v>
      </c>
      <c r="E29">
        <v>34</v>
      </c>
      <c r="F29">
        <v>39</v>
      </c>
      <c r="G29">
        <v>34</v>
      </c>
      <c r="H29">
        <v>25</v>
      </c>
      <c r="I29">
        <v>35</v>
      </c>
      <c r="J29" s="14">
        <v>30</v>
      </c>
      <c r="K29">
        <v>35</v>
      </c>
      <c r="L29">
        <v>40</v>
      </c>
      <c r="M29">
        <v>29</v>
      </c>
      <c r="N29">
        <v>38</v>
      </c>
      <c r="O29">
        <v>37</v>
      </c>
      <c r="P29">
        <v>29</v>
      </c>
      <c r="Q29">
        <v>36</v>
      </c>
      <c r="R29" s="14">
        <v>52</v>
      </c>
      <c r="S29">
        <v>31</v>
      </c>
      <c r="T29">
        <v>32</v>
      </c>
      <c r="U29">
        <v>45</v>
      </c>
      <c r="V29">
        <v>51</v>
      </c>
      <c r="W29">
        <v>38</v>
      </c>
      <c r="X29">
        <v>31</v>
      </c>
      <c r="Y29">
        <v>38</v>
      </c>
      <c r="Z29" s="14">
        <v>48</v>
      </c>
      <c r="AA29">
        <v>34</v>
      </c>
      <c r="AB29">
        <v>42</v>
      </c>
      <c r="AC29">
        <v>42</v>
      </c>
      <c r="AD29">
        <v>39</v>
      </c>
      <c r="AE29">
        <v>34</v>
      </c>
      <c r="AF29">
        <v>35</v>
      </c>
      <c r="AG29">
        <v>33</v>
      </c>
    </row>
    <row r="30" spans="1:33" x14ac:dyDescent="0.25">
      <c r="A30" t="s">
        <v>186</v>
      </c>
      <c r="B30">
        <v>11</v>
      </c>
      <c r="C30">
        <v>14</v>
      </c>
      <c r="D30">
        <v>6</v>
      </c>
      <c r="E30">
        <v>27</v>
      </c>
      <c r="F30">
        <v>3</v>
      </c>
      <c r="G30">
        <v>8</v>
      </c>
      <c r="H30">
        <v>3</v>
      </c>
      <c r="I30">
        <v>23</v>
      </c>
      <c r="J30" s="14">
        <v>6</v>
      </c>
      <c r="K30">
        <v>4</v>
      </c>
      <c r="L30">
        <v>3</v>
      </c>
      <c r="M30">
        <v>3</v>
      </c>
      <c r="N30">
        <v>42</v>
      </c>
      <c r="O30">
        <v>2</v>
      </c>
      <c r="P30">
        <v>3</v>
      </c>
      <c r="Q30">
        <v>29</v>
      </c>
      <c r="R30" s="14">
        <v>15</v>
      </c>
      <c r="S30">
        <v>41</v>
      </c>
      <c r="T30">
        <v>22</v>
      </c>
      <c r="U30">
        <v>30</v>
      </c>
      <c r="V30">
        <v>37</v>
      </c>
      <c r="W30">
        <v>38</v>
      </c>
      <c r="X30">
        <v>37</v>
      </c>
      <c r="Y30">
        <v>31</v>
      </c>
      <c r="Z30" s="14">
        <v>49</v>
      </c>
      <c r="AA30">
        <v>65</v>
      </c>
      <c r="AB30">
        <v>62</v>
      </c>
      <c r="AC30">
        <v>33</v>
      </c>
      <c r="AD30">
        <v>11</v>
      </c>
      <c r="AE30">
        <v>38</v>
      </c>
      <c r="AF30">
        <v>10</v>
      </c>
      <c r="AG30">
        <v>18</v>
      </c>
    </row>
    <row r="32" spans="1:33" s="25" customFormat="1" x14ac:dyDescent="0.25">
      <c r="A32" s="25" t="s">
        <v>1</v>
      </c>
      <c r="J32" s="31"/>
      <c r="R32" s="31"/>
      <c r="Z32" s="31"/>
    </row>
    <row r="33" spans="1:33" x14ac:dyDescent="0.25">
      <c r="A33" t="s">
        <v>3</v>
      </c>
      <c r="B33">
        <v>30</v>
      </c>
      <c r="C33">
        <v>11</v>
      </c>
      <c r="D33">
        <v>18</v>
      </c>
      <c r="E33">
        <v>25</v>
      </c>
      <c r="F33">
        <v>17</v>
      </c>
      <c r="G33">
        <v>5</v>
      </c>
      <c r="H33">
        <v>17</v>
      </c>
      <c r="I33">
        <v>8</v>
      </c>
      <c r="J33" s="18"/>
      <c r="K33" s="7"/>
      <c r="L33" s="7"/>
      <c r="M33" s="7"/>
      <c r="N33" s="7"/>
      <c r="O33" s="7"/>
      <c r="P33" s="7"/>
      <c r="Q33" s="7"/>
      <c r="R33" s="14">
        <v>28</v>
      </c>
      <c r="S33">
        <v>22</v>
      </c>
      <c r="T33">
        <v>20</v>
      </c>
      <c r="U33">
        <v>18</v>
      </c>
      <c r="V33">
        <v>17</v>
      </c>
      <c r="X33">
        <v>14</v>
      </c>
      <c r="Y33">
        <v>17</v>
      </c>
      <c r="Z33" s="14">
        <v>10</v>
      </c>
      <c r="AA33">
        <v>32</v>
      </c>
      <c r="AB33">
        <v>33</v>
      </c>
      <c r="AC33">
        <v>15</v>
      </c>
      <c r="AD33">
        <v>21</v>
      </c>
      <c r="AE33">
        <v>26</v>
      </c>
      <c r="AF33">
        <v>31</v>
      </c>
      <c r="AG33">
        <v>16</v>
      </c>
    </row>
    <row r="34" spans="1:33" x14ac:dyDescent="0.25">
      <c r="A34" t="s">
        <v>13</v>
      </c>
      <c r="B34">
        <v>1</v>
      </c>
      <c r="C34">
        <v>4</v>
      </c>
      <c r="D34">
        <v>1</v>
      </c>
      <c r="E34">
        <v>1</v>
      </c>
      <c r="F34">
        <v>0</v>
      </c>
      <c r="G34">
        <v>0</v>
      </c>
      <c r="H34">
        <v>0</v>
      </c>
      <c r="I34">
        <v>0</v>
      </c>
      <c r="J34" s="18"/>
      <c r="K34" s="7"/>
      <c r="L34" s="7"/>
      <c r="M34" s="7"/>
      <c r="N34" s="7"/>
      <c r="O34" s="7"/>
      <c r="P34" s="7"/>
      <c r="Q34" s="7"/>
      <c r="R34" s="14">
        <v>2</v>
      </c>
      <c r="S34">
        <v>1</v>
      </c>
      <c r="T34">
        <v>2</v>
      </c>
      <c r="U34">
        <v>1</v>
      </c>
      <c r="V34">
        <v>2</v>
      </c>
      <c r="W34">
        <v>1</v>
      </c>
      <c r="X34">
        <v>1</v>
      </c>
      <c r="Y34">
        <v>0</v>
      </c>
      <c r="Z34" s="14">
        <v>3</v>
      </c>
      <c r="AA34">
        <v>6</v>
      </c>
      <c r="AB34">
        <v>4</v>
      </c>
      <c r="AC34">
        <v>8</v>
      </c>
      <c r="AD34">
        <v>0</v>
      </c>
      <c r="AE34">
        <v>2</v>
      </c>
      <c r="AF34">
        <v>1</v>
      </c>
      <c r="AG34">
        <v>9</v>
      </c>
    </row>
    <row r="35" spans="1:33" x14ac:dyDescent="0.25">
      <c r="A35" t="s">
        <v>68</v>
      </c>
      <c r="B35">
        <v>10</v>
      </c>
      <c r="C35">
        <v>69</v>
      </c>
      <c r="D35">
        <v>6</v>
      </c>
      <c r="E35">
        <v>7</v>
      </c>
      <c r="F35">
        <v>9</v>
      </c>
      <c r="G35">
        <v>6</v>
      </c>
      <c r="H35">
        <v>9</v>
      </c>
      <c r="I35">
        <v>9</v>
      </c>
      <c r="J35" s="18"/>
      <c r="K35" s="7"/>
      <c r="L35" s="7"/>
      <c r="M35" s="7"/>
      <c r="N35" s="7"/>
      <c r="O35" s="7"/>
      <c r="P35" s="7"/>
      <c r="Q35" s="7"/>
      <c r="R35" s="14">
        <v>14</v>
      </c>
      <c r="S35">
        <v>14</v>
      </c>
      <c r="T35">
        <v>4</v>
      </c>
      <c r="U35">
        <v>5</v>
      </c>
      <c r="V35">
        <v>8</v>
      </c>
      <c r="W35">
        <v>76</v>
      </c>
      <c r="X35">
        <v>7</v>
      </c>
      <c r="Y35">
        <v>3</v>
      </c>
      <c r="Z35" s="14">
        <v>17</v>
      </c>
      <c r="AA35">
        <v>6</v>
      </c>
      <c r="AB35">
        <v>9</v>
      </c>
      <c r="AC35">
        <v>4</v>
      </c>
      <c r="AD35">
        <v>8</v>
      </c>
      <c r="AE35">
        <v>6</v>
      </c>
      <c r="AF35">
        <v>5</v>
      </c>
      <c r="AG35">
        <v>4</v>
      </c>
    </row>
    <row r="36" spans="1:33" x14ac:dyDescent="0.25">
      <c r="A36" t="s">
        <v>69</v>
      </c>
      <c r="B36">
        <v>51</v>
      </c>
      <c r="C36">
        <v>62</v>
      </c>
      <c r="D36">
        <v>65</v>
      </c>
      <c r="E36">
        <v>59</v>
      </c>
      <c r="F36">
        <v>42</v>
      </c>
      <c r="G36">
        <v>65</v>
      </c>
      <c r="H36">
        <v>52</v>
      </c>
      <c r="I36">
        <v>55</v>
      </c>
      <c r="J36" s="14">
        <v>45</v>
      </c>
      <c r="K36">
        <v>32</v>
      </c>
      <c r="L36">
        <v>45</v>
      </c>
      <c r="M36">
        <v>54</v>
      </c>
      <c r="N36">
        <v>38</v>
      </c>
      <c r="O36">
        <v>49</v>
      </c>
      <c r="P36">
        <v>35</v>
      </c>
      <c r="Q36">
        <v>37</v>
      </c>
      <c r="R36" s="14">
        <v>85</v>
      </c>
      <c r="S36">
        <v>50</v>
      </c>
      <c r="T36">
        <v>60</v>
      </c>
      <c r="U36">
        <v>55</v>
      </c>
      <c r="V36">
        <v>62</v>
      </c>
      <c r="W36">
        <v>92</v>
      </c>
      <c r="X36">
        <v>50</v>
      </c>
      <c r="Y36">
        <v>57</v>
      </c>
      <c r="Z36" s="14">
        <v>67</v>
      </c>
      <c r="AA36">
        <v>94</v>
      </c>
      <c r="AB36">
        <v>69</v>
      </c>
      <c r="AC36">
        <v>42</v>
      </c>
      <c r="AD36">
        <v>78</v>
      </c>
      <c r="AE36">
        <v>79</v>
      </c>
      <c r="AF36">
        <v>84</v>
      </c>
      <c r="AG36">
        <v>72</v>
      </c>
    </row>
    <row r="37" spans="1:33" x14ac:dyDescent="0.25">
      <c r="A37" t="s">
        <v>70</v>
      </c>
      <c r="B37">
        <v>73</v>
      </c>
      <c r="C37">
        <v>61</v>
      </c>
      <c r="D37">
        <v>29</v>
      </c>
      <c r="E37">
        <v>50</v>
      </c>
      <c r="F37">
        <v>21</v>
      </c>
      <c r="G37">
        <v>16</v>
      </c>
      <c r="H37">
        <v>15</v>
      </c>
      <c r="I37">
        <v>15</v>
      </c>
      <c r="J37" s="14">
        <v>2</v>
      </c>
      <c r="K37">
        <v>5</v>
      </c>
      <c r="L37">
        <v>3</v>
      </c>
      <c r="M37">
        <v>24</v>
      </c>
      <c r="N37">
        <v>5</v>
      </c>
      <c r="O37">
        <v>4</v>
      </c>
      <c r="P37">
        <v>10</v>
      </c>
      <c r="Q37">
        <v>43</v>
      </c>
      <c r="R37" s="14">
        <v>23</v>
      </c>
      <c r="S37">
        <v>25</v>
      </c>
      <c r="T37">
        <v>22</v>
      </c>
      <c r="U37">
        <v>24</v>
      </c>
      <c r="V37">
        <v>35</v>
      </c>
      <c r="W37">
        <v>27</v>
      </c>
      <c r="X37">
        <v>45</v>
      </c>
      <c r="Y37">
        <v>64</v>
      </c>
      <c r="Z37" s="14">
        <v>65</v>
      </c>
      <c r="AA37">
        <v>15</v>
      </c>
      <c r="AB37">
        <v>47</v>
      </c>
      <c r="AC37">
        <v>57</v>
      </c>
      <c r="AD37">
        <v>10</v>
      </c>
      <c r="AE37">
        <v>16</v>
      </c>
      <c r="AF37">
        <v>1</v>
      </c>
      <c r="AG37">
        <v>33</v>
      </c>
    </row>
    <row r="38" spans="1:33" x14ac:dyDescent="0.25">
      <c r="A38" t="s">
        <v>74</v>
      </c>
      <c r="B38">
        <v>18</v>
      </c>
      <c r="C38">
        <v>15</v>
      </c>
      <c r="D38">
        <v>20</v>
      </c>
      <c r="E38">
        <v>19</v>
      </c>
      <c r="F38">
        <v>17</v>
      </c>
      <c r="G38">
        <v>18</v>
      </c>
      <c r="H38">
        <v>18</v>
      </c>
      <c r="I38">
        <v>21</v>
      </c>
      <c r="J38" s="14">
        <v>10</v>
      </c>
      <c r="K38">
        <v>13</v>
      </c>
      <c r="L38">
        <v>17</v>
      </c>
      <c r="M38">
        <v>9</v>
      </c>
      <c r="N38">
        <v>23</v>
      </c>
      <c r="O38">
        <v>20</v>
      </c>
      <c r="P38">
        <v>20</v>
      </c>
      <c r="Q38">
        <v>16</v>
      </c>
      <c r="R38" s="14">
        <v>15</v>
      </c>
      <c r="S38">
        <v>20</v>
      </c>
      <c r="T38">
        <v>13</v>
      </c>
      <c r="U38">
        <v>12</v>
      </c>
      <c r="V38">
        <v>32</v>
      </c>
      <c r="W38">
        <v>18</v>
      </c>
      <c r="X38">
        <v>16</v>
      </c>
      <c r="Y38">
        <v>20</v>
      </c>
      <c r="Z38" s="14">
        <v>9</v>
      </c>
      <c r="AA38">
        <v>13</v>
      </c>
      <c r="AB38">
        <v>14</v>
      </c>
      <c r="AC38">
        <v>14</v>
      </c>
      <c r="AD38">
        <v>22</v>
      </c>
      <c r="AE38">
        <v>31</v>
      </c>
      <c r="AF38">
        <v>15</v>
      </c>
      <c r="AG38">
        <v>19</v>
      </c>
    </row>
    <row r="39" spans="1:33" x14ac:dyDescent="0.25">
      <c r="A39" t="s">
        <v>79</v>
      </c>
      <c r="B39">
        <v>61</v>
      </c>
      <c r="C39">
        <v>64</v>
      </c>
      <c r="D39">
        <v>72</v>
      </c>
      <c r="E39">
        <v>88</v>
      </c>
      <c r="F39">
        <v>72</v>
      </c>
      <c r="G39">
        <v>50</v>
      </c>
      <c r="H39">
        <v>83</v>
      </c>
      <c r="I39">
        <v>82</v>
      </c>
      <c r="J39" s="14">
        <v>11</v>
      </c>
      <c r="K39">
        <v>11</v>
      </c>
      <c r="L39">
        <v>52</v>
      </c>
      <c r="M39">
        <v>20</v>
      </c>
      <c r="N39">
        <v>23</v>
      </c>
      <c r="O39">
        <v>10</v>
      </c>
      <c r="P39">
        <v>14</v>
      </c>
      <c r="Q39">
        <v>38</v>
      </c>
      <c r="R39" s="14">
        <v>81</v>
      </c>
      <c r="S39">
        <v>68</v>
      </c>
      <c r="T39">
        <v>80</v>
      </c>
      <c r="U39">
        <v>74</v>
      </c>
      <c r="V39">
        <v>76</v>
      </c>
      <c r="W39">
        <v>26</v>
      </c>
      <c r="X39">
        <v>81</v>
      </c>
      <c r="Y39">
        <v>97</v>
      </c>
      <c r="Z39" s="14">
        <v>84</v>
      </c>
      <c r="AA39">
        <v>92</v>
      </c>
      <c r="AB39">
        <v>97</v>
      </c>
      <c r="AC39">
        <v>86</v>
      </c>
      <c r="AD39">
        <v>74</v>
      </c>
      <c r="AE39">
        <v>87</v>
      </c>
      <c r="AF39">
        <v>77</v>
      </c>
      <c r="AG39">
        <v>97</v>
      </c>
    </row>
    <row r="40" spans="1:33" x14ac:dyDescent="0.25">
      <c r="A40" t="s">
        <v>80</v>
      </c>
      <c r="B40">
        <v>57</v>
      </c>
      <c r="C40">
        <v>75</v>
      </c>
      <c r="D40">
        <v>70</v>
      </c>
      <c r="E40">
        <v>81</v>
      </c>
      <c r="F40">
        <v>76</v>
      </c>
      <c r="G40">
        <v>35</v>
      </c>
      <c r="H40">
        <v>11</v>
      </c>
      <c r="I40">
        <v>34</v>
      </c>
      <c r="J40" s="14">
        <v>7</v>
      </c>
      <c r="K40">
        <v>54</v>
      </c>
      <c r="L40">
        <v>49</v>
      </c>
      <c r="M40">
        <v>61</v>
      </c>
      <c r="N40">
        <v>56</v>
      </c>
      <c r="O40">
        <v>16</v>
      </c>
      <c r="P40">
        <v>57</v>
      </c>
      <c r="Q40">
        <v>72</v>
      </c>
      <c r="R40" s="14">
        <v>2</v>
      </c>
      <c r="S40">
        <v>55</v>
      </c>
      <c r="T40">
        <v>69</v>
      </c>
      <c r="U40">
        <v>66</v>
      </c>
      <c r="V40">
        <v>52</v>
      </c>
      <c r="W40">
        <v>68</v>
      </c>
      <c r="X40">
        <v>31</v>
      </c>
      <c r="Y40">
        <v>57</v>
      </c>
      <c r="Z40" s="14">
        <v>12</v>
      </c>
      <c r="AA40">
        <v>58</v>
      </c>
      <c r="AB40">
        <v>82</v>
      </c>
      <c r="AC40">
        <v>69</v>
      </c>
      <c r="AD40">
        <v>71</v>
      </c>
      <c r="AE40">
        <v>28</v>
      </c>
      <c r="AF40">
        <v>72</v>
      </c>
      <c r="AG40">
        <v>65</v>
      </c>
    </row>
    <row r="41" spans="1:33" x14ac:dyDescent="0.25">
      <c r="A41" t="s">
        <v>86</v>
      </c>
      <c r="B41">
        <v>5</v>
      </c>
      <c r="C41">
        <v>4</v>
      </c>
      <c r="D41">
        <v>7</v>
      </c>
      <c r="E41">
        <v>5</v>
      </c>
      <c r="F41">
        <v>2</v>
      </c>
      <c r="G41">
        <v>6</v>
      </c>
      <c r="H41">
        <v>6</v>
      </c>
      <c r="I41">
        <v>2</v>
      </c>
      <c r="J41" s="14">
        <v>1</v>
      </c>
      <c r="K41">
        <v>11</v>
      </c>
      <c r="L41">
        <v>3</v>
      </c>
      <c r="M41">
        <v>1</v>
      </c>
      <c r="N41">
        <v>8</v>
      </c>
      <c r="O41">
        <v>6</v>
      </c>
      <c r="P41">
        <v>4</v>
      </c>
      <c r="Q41">
        <v>5</v>
      </c>
      <c r="R41" s="14">
        <v>27</v>
      </c>
      <c r="S41">
        <v>3</v>
      </c>
      <c r="T41">
        <v>27</v>
      </c>
      <c r="U41">
        <v>3</v>
      </c>
      <c r="V41">
        <v>3</v>
      </c>
      <c r="W41">
        <v>3</v>
      </c>
      <c r="X41">
        <v>6</v>
      </c>
      <c r="Y41">
        <v>2</v>
      </c>
      <c r="Z41" s="14">
        <v>22</v>
      </c>
      <c r="AA41">
        <v>4</v>
      </c>
      <c r="AB41">
        <v>9</v>
      </c>
      <c r="AC41">
        <v>2</v>
      </c>
      <c r="AD41">
        <v>12</v>
      </c>
      <c r="AE41">
        <v>2</v>
      </c>
      <c r="AF41">
        <v>10</v>
      </c>
      <c r="AG41">
        <v>23</v>
      </c>
    </row>
    <row r="42" spans="1:33" x14ac:dyDescent="0.25">
      <c r="A42" t="s">
        <v>92</v>
      </c>
      <c r="B42">
        <v>12</v>
      </c>
      <c r="C42">
        <v>46</v>
      </c>
      <c r="D42">
        <v>21</v>
      </c>
      <c r="E42">
        <v>14</v>
      </c>
      <c r="F42">
        <v>21</v>
      </c>
      <c r="G42">
        <v>21</v>
      </c>
      <c r="H42">
        <v>63</v>
      </c>
      <c r="I42">
        <v>0</v>
      </c>
      <c r="J42" s="14">
        <v>0</v>
      </c>
      <c r="K42">
        <v>49</v>
      </c>
      <c r="L42">
        <v>67</v>
      </c>
      <c r="M42">
        <v>18</v>
      </c>
      <c r="N42">
        <v>20</v>
      </c>
      <c r="O42">
        <v>32</v>
      </c>
      <c r="P42">
        <v>16</v>
      </c>
      <c r="Q42">
        <v>45</v>
      </c>
      <c r="R42" s="14">
        <v>70</v>
      </c>
      <c r="S42">
        <v>56</v>
      </c>
      <c r="T42">
        <v>74</v>
      </c>
      <c r="U42">
        <v>37</v>
      </c>
      <c r="V42">
        <v>6</v>
      </c>
      <c r="W42">
        <v>31</v>
      </c>
      <c r="X42">
        <v>32</v>
      </c>
      <c r="Y42">
        <v>28</v>
      </c>
      <c r="Z42" s="14">
        <v>66</v>
      </c>
      <c r="AA42">
        <v>29</v>
      </c>
      <c r="AB42">
        <v>28</v>
      </c>
      <c r="AC42">
        <v>27</v>
      </c>
      <c r="AD42">
        <v>2</v>
      </c>
      <c r="AE42">
        <v>31</v>
      </c>
      <c r="AF42">
        <v>41</v>
      </c>
      <c r="AG42">
        <v>38</v>
      </c>
    </row>
    <row r="43" spans="1:33" x14ac:dyDescent="0.25">
      <c r="A43" t="s">
        <v>93</v>
      </c>
      <c r="B43">
        <v>18</v>
      </c>
      <c r="C43">
        <v>12</v>
      </c>
      <c r="D43">
        <v>12</v>
      </c>
      <c r="E43">
        <v>16</v>
      </c>
      <c r="F43">
        <v>9</v>
      </c>
      <c r="G43">
        <v>5</v>
      </c>
      <c r="H43">
        <v>5</v>
      </c>
      <c r="I43">
        <v>5</v>
      </c>
      <c r="J43" s="14">
        <v>12</v>
      </c>
      <c r="K43">
        <v>5</v>
      </c>
      <c r="L43">
        <v>5</v>
      </c>
      <c r="M43">
        <v>4</v>
      </c>
      <c r="N43">
        <v>4</v>
      </c>
      <c r="O43">
        <v>2</v>
      </c>
      <c r="P43">
        <v>6</v>
      </c>
      <c r="Q43">
        <v>5</v>
      </c>
      <c r="R43" s="14">
        <v>11</v>
      </c>
      <c r="S43">
        <v>10</v>
      </c>
      <c r="T43">
        <v>3</v>
      </c>
      <c r="U43">
        <v>11</v>
      </c>
      <c r="V43">
        <v>7</v>
      </c>
      <c r="W43">
        <v>11</v>
      </c>
      <c r="X43">
        <v>9</v>
      </c>
      <c r="Y43">
        <v>4</v>
      </c>
      <c r="Z43" s="14">
        <v>16</v>
      </c>
      <c r="AA43">
        <v>14</v>
      </c>
      <c r="AB43">
        <v>10</v>
      </c>
      <c r="AC43">
        <v>6</v>
      </c>
      <c r="AD43">
        <v>10</v>
      </c>
      <c r="AE43">
        <v>11</v>
      </c>
      <c r="AF43">
        <v>6</v>
      </c>
      <c r="AG43">
        <v>5</v>
      </c>
    </row>
    <row r="44" spans="1:33" x14ac:dyDescent="0.25">
      <c r="A44" t="s">
        <v>110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 s="1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 s="1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 s="1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1</v>
      </c>
      <c r="AG44">
        <v>0</v>
      </c>
    </row>
    <row r="45" spans="1:33" x14ac:dyDescent="0.25">
      <c r="A45" t="s">
        <v>120</v>
      </c>
      <c r="B45">
        <v>19</v>
      </c>
      <c r="C45">
        <v>21</v>
      </c>
      <c r="D45">
        <v>12</v>
      </c>
      <c r="E45" s="7"/>
      <c r="F45">
        <v>18</v>
      </c>
      <c r="G45">
        <v>18</v>
      </c>
      <c r="H45">
        <v>8</v>
      </c>
      <c r="I45">
        <v>14</v>
      </c>
      <c r="J45" s="14">
        <v>13</v>
      </c>
      <c r="K45">
        <v>5</v>
      </c>
      <c r="L45">
        <v>3</v>
      </c>
      <c r="M45" s="7"/>
      <c r="N45">
        <v>8</v>
      </c>
      <c r="O45">
        <v>4</v>
      </c>
      <c r="P45">
        <v>4</v>
      </c>
      <c r="Q45">
        <v>5</v>
      </c>
      <c r="R45" s="14">
        <v>18</v>
      </c>
      <c r="S45">
        <v>21</v>
      </c>
      <c r="T45">
        <v>28</v>
      </c>
      <c r="U45" s="7"/>
      <c r="V45">
        <v>23</v>
      </c>
      <c r="W45">
        <v>20</v>
      </c>
      <c r="X45">
        <v>5</v>
      </c>
      <c r="Y45">
        <v>15</v>
      </c>
      <c r="Z45" s="14">
        <v>43</v>
      </c>
      <c r="AA45">
        <v>26</v>
      </c>
      <c r="AB45">
        <v>29</v>
      </c>
      <c r="AC45" s="7"/>
      <c r="AD45">
        <v>28</v>
      </c>
      <c r="AE45">
        <v>24</v>
      </c>
      <c r="AF45">
        <v>9</v>
      </c>
      <c r="AG45">
        <v>31</v>
      </c>
    </row>
    <row r="46" spans="1:33" x14ac:dyDescent="0.25">
      <c r="A46" t="s">
        <v>125</v>
      </c>
      <c r="B46">
        <v>6</v>
      </c>
      <c r="C46">
        <v>16</v>
      </c>
      <c r="D46">
        <v>13</v>
      </c>
      <c r="E46">
        <v>4</v>
      </c>
      <c r="F46">
        <v>27</v>
      </c>
      <c r="G46">
        <v>22</v>
      </c>
      <c r="H46">
        <v>11</v>
      </c>
      <c r="I46">
        <v>20</v>
      </c>
      <c r="J46" s="14">
        <v>5</v>
      </c>
      <c r="K46">
        <v>6</v>
      </c>
      <c r="L46">
        <v>5</v>
      </c>
      <c r="M46">
        <v>7</v>
      </c>
      <c r="N46">
        <v>8</v>
      </c>
      <c r="O46">
        <v>11</v>
      </c>
      <c r="P46">
        <v>6</v>
      </c>
      <c r="Q46">
        <v>15</v>
      </c>
      <c r="R46" s="14">
        <v>30</v>
      </c>
      <c r="S46">
        <v>53</v>
      </c>
      <c r="T46">
        <v>55</v>
      </c>
      <c r="U46">
        <v>57</v>
      </c>
      <c r="V46">
        <v>38</v>
      </c>
      <c r="W46">
        <v>40</v>
      </c>
      <c r="X46">
        <v>41</v>
      </c>
      <c r="Y46">
        <v>52</v>
      </c>
      <c r="Z46" s="14">
        <v>68</v>
      </c>
      <c r="AA46">
        <v>65</v>
      </c>
      <c r="AB46">
        <v>52</v>
      </c>
      <c r="AC46">
        <v>50</v>
      </c>
      <c r="AD46">
        <v>11</v>
      </c>
      <c r="AE46">
        <v>34</v>
      </c>
      <c r="AF46">
        <v>59</v>
      </c>
      <c r="AG46">
        <v>17</v>
      </c>
    </row>
    <row r="47" spans="1:33" x14ac:dyDescent="0.25">
      <c r="A47" t="s">
        <v>130</v>
      </c>
      <c r="B47">
        <v>27</v>
      </c>
      <c r="C47">
        <v>16</v>
      </c>
      <c r="D47">
        <v>22</v>
      </c>
      <c r="E47">
        <v>13</v>
      </c>
      <c r="F47">
        <v>15</v>
      </c>
      <c r="G47">
        <v>10</v>
      </c>
      <c r="H47">
        <v>9</v>
      </c>
      <c r="I47">
        <v>12</v>
      </c>
      <c r="J47" s="14">
        <v>5</v>
      </c>
      <c r="K47">
        <v>14</v>
      </c>
      <c r="L47">
        <v>21</v>
      </c>
      <c r="M47">
        <v>14</v>
      </c>
      <c r="N47">
        <v>10</v>
      </c>
      <c r="O47">
        <v>9</v>
      </c>
      <c r="P47">
        <v>9</v>
      </c>
      <c r="Q47">
        <v>10</v>
      </c>
      <c r="R47" s="14">
        <v>23</v>
      </c>
      <c r="S47">
        <v>17</v>
      </c>
      <c r="T47">
        <v>24</v>
      </c>
      <c r="U47">
        <v>20</v>
      </c>
      <c r="V47">
        <v>10</v>
      </c>
      <c r="W47">
        <v>15</v>
      </c>
      <c r="X47">
        <v>11</v>
      </c>
      <c r="Y47">
        <v>6</v>
      </c>
      <c r="Z47" s="14">
        <v>21</v>
      </c>
      <c r="AA47">
        <v>18</v>
      </c>
      <c r="AB47">
        <v>16</v>
      </c>
      <c r="AC47">
        <v>20</v>
      </c>
      <c r="AD47">
        <v>13</v>
      </c>
      <c r="AE47">
        <v>10</v>
      </c>
      <c r="AF47">
        <v>12</v>
      </c>
      <c r="AG47">
        <v>9</v>
      </c>
    </row>
    <row r="48" spans="1:33" x14ac:dyDescent="0.25">
      <c r="A48" t="s">
        <v>145</v>
      </c>
      <c r="B48">
        <v>27</v>
      </c>
      <c r="C48">
        <v>12</v>
      </c>
      <c r="D48">
        <v>20</v>
      </c>
      <c r="E48">
        <v>17</v>
      </c>
      <c r="F48">
        <v>9</v>
      </c>
      <c r="G48">
        <v>33</v>
      </c>
      <c r="H48">
        <v>15</v>
      </c>
      <c r="I48">
        <v>3</v>
      </c>
      <c r="J48" s="14">
        <v>24</v>
      </c>
      <c r="K48">
        <v>16</v>
      </c>
      <c r="L48">
        <v>22</v>
      </c>
      <c r="M48">
        <v>5</v>
      </c>
      <c r="N48">
        <v>12</v>
      </c>
      <c r="O48">
        <v>30</v>
      </c>
      <c r="P48">
        <v>11</v>
      </c>
      <c r="Q48">
        <v>5</v>
      </c>
      <c r="R48" s="14">
        <v>27</v>
      </c>
      <c r="S48" s="5"/>
      <c r="T48">
        <v>43</v>
      </c>
      <c r="U48">
        <v>24</v>
      </c>
      <c r="V48">
        <v>9</v>
      </c>
      <c r="W48">
        <v>57</v>
      </c>
      <c r="X48">
        <v>48</v>
      </c>
      <c r="Y48">
        <v>16</v>
      </c>
      <c r="Z48" s="14">
        <v>58</v>
      </c>
      <c r="AA48" s="5"/>
      <c r="AB48">
        <v>19</v>
      </c>
      <c r="AC48">
        <v>41</v>
      </c>
      <c r="AD48">
        <v>34</v>
      </c>
      <c r="AE48">
        <v>54</v>
      </c>
      <c r="AF48">
        <v>31</v>
      </c>
      <c r="AG48">
        <v>35</v>
      </c>
    </row>
    <row r="49" spans="1:39" x14ac:dyDescent="0.25">
      <c r="A49" t="s">
        <v>144</v>
      </c>
      <c r="B49">
        <v>74</v>
      </c>
      <c r="C49">
        <v>62</v>
      </c>
      <c r="D49">
        <v>26</v>
      </c>
      <c r="E49">
        <v>33</v>
      </c>
      <c r="F49">
        <v>42</v>
      </c>
      <c r="G49">
        <v>50</v>
      </c>
      <c r="H49">
        <v>42</v>
      </c>
      <c r="I49">
        <v>23</v>
      </c>
      <c r="J49" s="14">
        <v>13</v>
      </c>
      <c r="K49">
        <v>25</v>
      </c>
      <c r="L49">
        <v>25</v>
      </c>
      <c r="M49">
        <v>24</v>
      </c>
      <c r="N49">
        <v>36</v>
      </c>
      <c r="O49">
        <v>24</v>
      </c>
      <c r="P49">
        <v>36</v>
      </c>
      <c r="Q49">
        <v>54</v>
      </c>
      <c r="R49" s="14">
        <v>32</v>
      </c>
      <c r="S49">
        <v>22</v>
      </c>
      <c r="T49">
        <v>48</v>
      </c>
      <c r="U49">
        <v>29</v>
      </c>
      <c r="V49">
        <v>57</v>
      </c>
      <c r="W49">
        <v>27</v>
      </c>
      <c r="X49">
        <v>26</v>
      </c>
      <c r="Y49">
        <v>38</v>
      </c>
      <c r="Z49" s="14">
        <v>61</v>
      </c>
      <c r="AA49">
        <v>59</v>
      </c>
      <c r="AB49">
        <v>66</v>
      </c>
      <c r="AC49">
        <v>61</v>
      </c>
      <c r="AD49">
        <v>78</v>
      </c>
      <c r="AE49">
        <v>74</v>
      </c>
      <c r="AF49">
        <v>71</v>
      </c>
      <c r="AG49">
        <v>47</v>
      </c>
    </row>
    <row r="50" spans="1:39" x14ac:dyDescent="0.25">
      <c r="A50" t="s">
        <v>132</v>
      </c>
      <c r="B50">
        <v>10</v>
      </c>
      <c r="C50">
        <v>33</v>
      </c>
      <c r="D50">
        <v>35</v>
      </c>
      <c r="E50">
        <v>32</v>
      </c>
      <c r="F50">
        <v>47</v>
      </c>
      <c r="G50">
        <v>60</v>
      </c>
      <c r="H50">
        <v>37</v>
      </c>
      <c r="I50">
        <v>44</v>
      </c>
      <c r="J50" s="14">
        <v>10</v>
      </c>
      <c r="K50">
        <v>22</v>
      </c>
      <c r="L50">
        <v>24</v>
      </c>
      <c r="M50">
        <v>18</v>
      </c>
      <c r="N50">
        <v>44</v>
      </c>
      <c r="O50">
        <v>56</v>
      </c>
      <c r="P50">
        <v>31</v>
      </c>
      <c r="Q50">
        <v>64</v>
      </c>
      <c r="R50" s="14">
        <v>34</v>
      </c>
      <c r="S50">
        <v>34</v>
      </c>
      <c r="T50">
        <v>72</v>
      </c>
      <c r="U50">
        <v>60</v>
      </c>
      <c r="V50">
        <v>63</v>
      </c>
      <c r="W50">
        <v>83</v>
      </c>
      <c r="X50">
        <v>72</v>
      </c>
      <c r="Y50">
        <v>37</v>
      </c>
      <c r="Z50" s="14">
        <v>63</v>
      </c>
      <c r="AA50">
        <v>51</v>
      </c>
      <c r="AB50">
        <v>56</v>
      </c>
      <c r="AC50">
        <v>75</v>
      </c>
      <c r="AD50">
        <v>52</v>
      </c>
      <c r="AE50">
        <v>47</v>
      </c>
      <c r="AF50">
        <v>82</v>
      </c>
      <c r="AG50">
        <v>71</v>
      </c>
    </row>
    <row r="51" spans="1:39" x14ac:dyDescent="0.25">
      <c r="A51" t="s">
        <v>146</v>
      </c>
      <c r="B51">
        <v>14</v>
      </c>
      <c r="C51">
        <v>8</v>
      </c>
      <c r="D51">
        <v>6</v>
      </c>
      <c r="E51">
        <v>6</v>
      </c>
      <c r="F51">
        <v>4</v>
      </c>
      <c r="G51">
        <v>16</v>
      </c>
      <c r="H51">
        <v>8</v>
      </c>
      <c r="I51">
        <v>18</v>
      </c>
      <c r="J51" s="14">
        <v>6</v>
      </c>
      <c r="K51">
        <v>3</v>
      </c>
      <c r="L51">
        <v>3</v>
      </c>
      <c r="M51">
        <v>6</v>
      </c>
      <c r="N51">
        <v>4</v>
      </c>
      <c r="O51">
        <v>1</v>
      </c>
      <c r="P51">
        <v>5</v>
      </c>
      <c r="Q51">
        <v>5</v>
      </c>
      <c r="R51" s="14">
        <v>40</v>
      </c>
      <c r="S51">
        <v>13</v>
      </c>
      <c r="T51">
        <v>14</v>
      </c>
      <c r="U51">
        <v>19</v>
      </c>
      <c r="V51">
        <v>9</v>
      </c>
      <c r="W51">
        <v>3</v>
      </c>
      <c r="X51">
        <v>19</v>
      </c>
      <c r="Y51">
        <v>14</v>
      </c>
      <c r="Z51" s="14">
        <v>26</v>
      </c>
      <c r="AA51">
        <v>13</v>
      </c>
      <c r="AB51">
        <v>21</v>
      </c>
      <c r="AC51">
        <v>12</v>
      </c>
      <c r="AD51">
        <v>26</v>
      </c>
      <c r="AE51">
        <v>8</v>
      </c>
      <c r="AF51">
        <v>35</v>
      </c>
      <c r="AG51">
        <v>10</v>
      </c>
    </row>
    <row r="52" spans="1:39" x14ac:dyDescent="0.25">
      <c r="A52" t="s">
        <v>147</v>
      </c>
      <c r="B52">
        <v>3</v>
      </c>
      <c r="C52">
        <v>7</v>
      </c>
      <c r="D52">
        <v>6</v>
      </c>
      <c r="E52">
        <v>49</v>
      </c>
      <c r="F52">
        <v>30</v>
      </c>
      <c r="G52">
        <v>19</v>
      </c>
      <c r="H52">
        <v>41</v>
      </c>
      <c r="I52">
        <v>10</v>
      </c>
      <c r="J52" s="14">
        <v>3</v>
      </c>
      <c r="K52">
        <v>39</v>
      </c>
      <c r="L52">
        <v>25</v>
      </c>
      <c r="M52">
        <v>3</v>
      </c>
      <c r="N52">
        <v>7</v>
      </c>
      <c r="O52">
        <v>5</v>
      </c>
      <c r="P52">
        <v>2</v>
      </c>
      <c r="Q52">
        <v>3</v>
      </c>
      <c r="R52" s="14">
        <v>3</v>
      </c>
      <c r="S52">
        <v>60</v>
      </c>
      <c r="T52">
        <v>33</v>
      </c>
      <c r="U52">
        <v>58</v>
      </c>
      <c r="V52">
        <v>72</v>
      </c>
      <c r="W52">
        <v>51</v>
      </c>
      <c r="X52">
        <v>60</v>
      </c>
      <c r="Y52">
        <v>64</v>
      </c>
      <c r="Z52" s="14">
        <v>42</v>
      </c>
      <c r="AA52">
        <v>68</v>
      </c>
      <c r="AB52">
        <v>56</v>
      </c>
      <c r="AC52">
        <v>75</v>
      </c>
      <c r="AD52">
        <v>96</v>
      </c>
      <c r="AE52">
        <v>72</v>
      </c>
      <c r="AF52">
        <v>5</v>
      </c>
      <c r="AG52">
        <v>72</v>
      </c>
    </row>
    <row r="53" spans="1:39" x14ac:dyDescent="0.25">
      <c r="A53" t="s">
        <v>155</v>
      </c>
      <c r="B53">
        <v>1</v>
      </c>
      <c r="C53">
        <v>0</v>
      </c>
      <c r="D53">
        <v>1</v>
      </c>
      <c r="E53" s="5"/>
      <c r="F53">
        <v>1</v>
      </c>
      <c r="G53">
        <v>0</v>
      </c>
      <c r="H53">
        <v>0</v>
      </c>
      <c r="I53">
        <v>0</v>
      </c>
      <c r="J53" s="14">
        <v>1</v>
      </c>
      <c r="K53">
        <v>0</v>
      </c>
      <c r="L53">
        <v>0</v>
      </c>
      <c r="M53" s="5"/>
      <c r="N53">
        <v>0</v>
      </c>
      <c r="O53">
        <v>0</v>
      </c>
      <c r="P53">
        <v>13</v>
      </c>
      <c r="Q53">
        <v>0</v>
      </c>
      <c r="R53" s="14">
        <v>1</v>
      </c>
      <c r="S53">
        <v>1</v>
      </c>
      <c r="T53">
        <v>32</v>
      </c>
      <c r="U53" s="5"/>
      <c r="V53">
        <v>17</v>
      </c>
      <c r="W53">
        <v>37</v>
      </c>
      <c r="X53">
        <v>15</v>
      </c>
      <c r="Y53">
        <v>27</v>
      </c>
      <c r="Z53" s="14">
        <v>1</v>
      </c>
      <c r="AA53">
        <v>1</v>
      </c>
      <c r="AB53">
        <v>16</v>
      </c>
      <c r="AC53" s="5"/>
      <c r="AD53">
        <v>0</v>
      </c>
      <c r="AE53">
        <v>10</v>
      </c>
      <c r="AF53">
        <v>9</v>
      </c>
      <c r="AG53">
        <v>30</v>
      </c>
    </row>
    <row r="54" spans="1:39" x14ac:dyDescent="0.25">
      <c r="A54" t="s">
        <v>158</v>
      </c>
      <c r="B54">
        <v>62</v>
      </c>
      <c r="C54">
        <v>14</v>
      </c>
      <c r="D54">
        <v>69</v>
      </c>
      <c r="E54">
        <v>69</v>
      </c>
      <c r="F54">
        <v>70</v>
      </c>
      <c r="G54">
        <v>75</v>
      </c>
      <c r="H54">
        <v>64</v>
      </c>
      <c r="I54">
        <v>68</v>
      </c>
      <c r="J54" s="14">
        <v>4</v>
      </c>
      <c r="K54" s="19">
        <v>3</v>
      </c>
      <c r="L54" s="19">
        <v>4</v>
      </c>
      <c r="M54" s="19">
        <v>3</v>
      </c>
      <c r="N54">
        <v>4</v>
      </c>
      <c r="O54">
        <v>19</v>
      </c>
      <c r="P54">
        <v>14</v>
      </c>
      <c r="Q54">
        <v>5</v>
      </c>
      <c r="R54" s="14">
        <v>85</v>
      </c>
      <c r="S54" s="19">
        <v>52</v>
      </c>
      <c r="T54" s="19">
        <v>91</v>
      </c>
      <c r="U54" s="19">
        <v>88</v>
      </c>
      <c r="V54" s="5"/>
      <c r="W54">
        <v>82</v>
      </c>
      <c r="X54">
        <v>94</v>
      </c>
      <c r="Y54" s="5"/>
      <c r="Z54" s="14">
        <v>5</v>
      </c>
      <c r="AA54" s="19">
        <v>68</v>
      </c>
      <c r="AB54" s="19">
        <v>80</v>
      </c>
      <c r="AC54" s="19">
        <v>62</v>
      </c>
      <c r="AD54">
        <v>93</v>
      </c>
      <c r="AE54">
        <v>88</v>
      </c>
      <c r="AF54">
        <v>93</v>
      </c>
      <c r="AG54" s="5"/>
    </row>
    <row r="55" spans="1:39" x14ac:dyDescent="0.25">
      <c r="A55" t="s">
        <v>162</v>
      </c>
      <c r="B55">
        <v>18</v>
      </c>
      <c r="C55">
        <v>21</v>
      </c>
      <c r="D55">
        <v>16</v>
      </c>
      <c r="E55">
        <v>19</v>
      </c>
      <c r="F55">
        <v>35</v>
      </c>
      <c r="G55">
        <v>14</v>
      </c>
      <c r="H55">
        <v>8</v>
      </c>
      <c r="I55">
        <v>19</v>
      </c>
      <c r="J55" s="14">
        <v>10</v>
      </c>
      <c r="K55">
        <v>7</v>
      </c>
      <c r="L55">
        <v>14</v>
      </c>
      <c r="M55">
        <v>16</v>
      </c>
      <c r="N55">
        <v>9</v>
      </c>
      <c r="O55">
        <v>9</v>
      </c>
      <c r="P55">
        <v>8</v>
      </c>
      <c r="Q55">
        <v>16</v>
      </c>
      <c r="R55" s="14">
        <v>28</v>
      </c>
      <c r="S55">
        <v>29</v>
      </c>
      <c r="T55">
        <v>11</v>
      </c>
      <c r="U55">
        <v>7</v>
      </c>
      <c r="V55">
        <v>15</v>
      </c>
      <c r="W55">
        <v>6</v>
      </c>
      <c r="X55">
        <v>15</v>
      </c>
      <c r="Y55">
        <v>8</v>
      </c>
      <c r="Z55" s="14">
        <v>31</v>
      </c>
      <c r="AA55">
        <v>10</v>
      </c>
      <c r="AB55">
        <v>17</v>
      </c>
      <c r="AC55">
        <v>8</v>
      </c>
      <c r="AD55">
        <v>9</v>
      </c>
      <c r="AE55">
        <v>12</v>
      </c>
      <c r="AF55" s="5"/>
      <c r="AG55">
        <v>9</v>
      </c>
    </row>
    <row r="56" spans="1:39" x14ac:dyDescent="0.25">
      <c r="A56" t="s">
        <v>160</v>
      </c>
      <c r="B56">
        <v>3</v>
      </c>
      <c r="C56">
        <v>4</v>
      </c>
      <c r="D56">
        <v>3</v>
      </c>
      <c r="E56">
        <v>6</v>
      </c>
      <c r="F56">
        <v>5</v>
      </c>
      <c r="G56">
        <v>6</v>
      </c>
      <c r="H56">
        <v>4</v>
      </c>
      <c r="I56">
        <v>4</v>
      </c>
      <c r="J56" s="14">
        <v>3</v>
      </c>
      <c r="K56">
        <v>5</v>
      </c>
      <c r="L56">
        <v>7</v>
      </c>
      <c r="M56">
        <v>6</v>
      </c>
      <c r="N56">
        <v>7</v>
      </c>
      <c r="O56">
        <v>7</v>
      </c>
      <c r="P56">
        <v>8</v>
      </c>
      <c r="Q56">
        <v>3</v>
      </c>
      <c r="R56" s="14">
        <v>12</v>
      </c>
      <c r="S56">
        <v>11</v>
      </c>
      <c r="T56">
        <v>8</v>
      </c>
      <c r="U56">
        <v>7</v>
      </c>
      <c r="V56">
        <v>13</v>
      </c>
      <c r="W56">
        <v>17</v>
      </c>
      <c r="X56">
        <v>3</v>
      </c>
      <c r="Y56">
        <v>16</v>
      </c>
      <c r="Z56" s="14">
        <v>9</v>
      </c>
      <c r="AA56">
        <v>14</v>
      </c>
      <c r="AB56">
        <v>13</v>
      </c>
      <c r="AC56">
        <v>12</v>
      </c>
      <c r="AD56">
        <v>19</v>
      </c>
      <c r="AE56">
        <v>8</v>
      </c>
      <c r="AF56">
        <v>15</v>
      </c>
      <c r="AG56">
        <v>8</v>
      </c>
    </row>
    <row r="57" spans="1:39" x14ac:dyDescent="0.25">
      <c r="A57" t="s">
        <v>173</v>
      </c>
      <c r="B57">
        <v>12</v>
      </c>
      <c r="C57">
        <v>12</v>
      </c>
      <c r="D57">
        <v>10</v>
      </c>
      <c r="E57">
        <v>8</v>
      </c>
      <c r="F57">
        <v>13</v>
      </c>
      <c r="G57">
        <v>15</v>
      </c>
      <c r="H57">
        <v>26</v>
      </c>
      <c r="I57">
        <v>27</v>
      </c>
      <c r="J57" s="14">
        <v>18</v>
      </c>
      <c r="K57">
        <v>29</v>
      </c>
      <c r="L57">
        <v>9</v>
      </c>
      <c r="M57">
        <v>12</v>
      </c>
      <c r="N57">
        <v>19</v>
      </c>
      <c r="O57">
        <v>22</v>
      </c>
      <c r="P57">
        <v>27</v>
      </c>
      <c r="Q57">
        <v>27</v>
      </c>
      <c r="R57" s="14">
        <v>29</v>
      </c>
      <c r="S57">
        <v>22</v>
      </c>
      <c r="T57">
        <v>26</v>
      </c>
      <c r="U57" s="5"/>
      <c r="V57">
        <v>53</v>
      </c>
      <c r="W57">
        <v>41</v>
      </c>
      <c r="X57">
        <v>30</v>
      </c>
      <c r="Y57">
        <v>23</v>
      </c>
      <c r="Z57" s="14">
        <v>44</v>
      </c>
      <c r="AA57">
        <v>30</v>
      </c>
      <c r="AB57">
        <v>51</v>
      </c>
      <c r="AC57" s="5"/>
      <c r="AD57">
        <v>39</v>
      </c>
      <c r="AE57">
        <v>37</v>
      </c>
      <c r="AF57">
        <v>42</v>
      </c>
      <c r="AG57">
        <v>11</v>
      </c>
    </row>
    <row r="58" spans="1:39" x14ac:dyDescent="0.25">
      <c r="A58" t="s">
        <v>174</v>
      </c>
      <c r="B58">
        <v>1</v>
      </c>
      <c r="C58">
        <v>2</v>
      </c>
      <c r="D58">
        <v>2</v>
      </c>
      <c r="E58">
        <v>2</v>
      </c>
      <c r="F58">
        <v>3</v>
      </c>
      <c r="G58">
        <v>2</v>
      </c>
      <c r="H58">
        <v>2</v>
      </c>
      <c r="I58">
        <v>3</v>
      </c>
      <c r="J58" s="14">
        <v>1</v>
      </c>
      <c r="K58">
        <v>1</v>
      </c>
      <c r="L58">
        <v>2</v>
      </c>
      <c r="M58">
        <v>1</v>
      </c>
      <c r="N58">
        <v>2</v>
      </c>
      <c r="O58">
        <v>1</v>
      </c>
      <c r="P58">
        <v>1</v>
      </c>
      <c r="Q58">
        <v>3</v>
      </c>
      <c r="R58" s="14">
        <v>9</v>
      </c>
      <c r="S58">
        <v>1</v>
      </c>
      <c r="T58">
        <v>2</v>
      </c>
      <c r="U58">
        <v>2</v>
      </c>
      <c r="V58">
        <v>2</v>
      </c>
      <c r="W58">
        <v>6</v>
      </c>
      <c r="X58">
        <v>18</v>
      </c>
      <c r="Y58">
        <v>3</v>
      </c>
      <c r="Z58" s="14">
        <v>16</v>
      </c>
      <c r="AA58">
        <v>1</v>
      </c>
      <c r="AB58">
        <v>2</v>
      </c>
      <c r="AC58">
        <v>4</v>
      </c>
      <c r="AD58">
        <v>3</v>
      </c>
      <c r="AE58">
        <v>5</v>
      </c>
      <c r="AF58">
        <v>5</v>
      </c>
      <c r="AG58">
        <v>4</v>
      </c>
    </row>
    <row r="59" spans="1:39" x14ac:dyDescent="0.25">
      <c r="A59" t="s">
        <v>175</v>
      </c>
      <c r="B59">
        <v>36</v>
      </c>
      <c r="C59">
        <v>37</v>
      </c>
      <c r="D59">
        <v>40</v>
      </c>
      <c r="E59">
        <v>49</v>
      </c>
      <c r="F59">
        <v>66</v>
      </c>
      <c r="G59">
        <v>63</v>
      </c>
      <c r="H59">
        <v>51</v>
      </c>
      <c r="I59">
        <v>54</v>
      </c>
      <c r="J59" s="14">
        <v>29</v>
      </c>
      <c r="K59">
        <v>35</v>
      </c>
      <c r="L59">
        <v>44</v>
      </c>
      <c r="M59">
        <v>44</v>
      </c>
      <c r="N59">
        <v>43</v>
      </c>
      <c r="O59">
        <v>48</v>
      </c>
      <c r="P59">
        <v>52</v>
      </c>
      <c r="Q59">
        <v>49</v>
      </c>
      <c r="R59" s="14">
        <v>41</v>
      </c>
      <c r="S59">
        <v>31</v>
      </c>
      <c r="T59">
        <v>54</v>
      </c>
      <c r="U59">
        <v>53</v>
      </c>
      <c r="V59">
        <v>57</v>
      </c>
      <c r="W59">
        <v>51</v>
      </c>
      <c r="X59">
        <v>63</v>
      </c>
      <c r="Y59">
        <v>54</v>
      </c>
      <c r="Z59" s="14">
        <v>44</v>
      </c>
      <c r="AA59">
        <v>31</v>
      </c>
      <c r="AB59">
        <v>65</v>
      </c>
      <c r="AC59">
        <v>48</v>
      </c>
      <c r="AD59">
        <v>46</v>
      </c>
      <c r="AE59">
        <v>56</v>
      </c>
      <c r="AF59">
        <v>55</v>
      </c>
      <c r="AG59">
        <v>57</v>
      </c>
    </row>
    <row r="60" spans="1:39" x14ac:dyDescent="0.25">
      <c r="A60" t="s">
        <v>187</v>
      </c>
      <c r="B60">
        <v>33</v>
      </c>
      <c r="C60">
        <v>33</v>
      </c>
      <c r="D60">
        <v>48</v>
      </c>
      <c r="E60">
        <v>27</v>
      </c>
      <c r="F60">
        <v>59</v>
      </c>
      <c r="G60">
        <v>35</v>
      </c>
      <c r="H60">
        <v>50</v>
      </c>
      <c r="I60" s="13">
        <v>42</v>
      </c>
      <c r="J60">
        <v>33</v>
      </c>
      <c r="K60">
        <v>31</v>
      </c>
      <c r="L60">
        <v>32</v>
      </c>
      <c r="M60">
        <v>47</v>
      </c>
      <c r="N60">
        <v>44</v>
      </c>
      <c r="O60">
        <v>48</v>
      </c>
      <c r="P60">
        <v>43</v>
      </c>
      <c r="Q60" s="13">
        <v>42</v>
      </c>
      <c r="R60">
        <v>46</v>
      </c>
      <c r="S60">
        <v>45</v>
      </c>
      <c r="T60">
        <v>43</v>
      </c>
      <c r="U60">
        <v>47</v>
      </c>
      <c r="V60">
        <v>40</v>
      </c>
      <c r="W60">
        <v>30</v>
      </c>
      <c r="X60">
        <v>52</v>
      </c>
      <c r="Y60" s="13">
        <v>31</v>
      </c>
      <c r="Z60">
        <v>51</v>
      </c>
      <c r="AA60">
        <v>52</v>
      </c>
      <c r="AB60">
        <v>55</v>
      </c>
      <c r="AC60">
        <v>46</v>
      </c>
      <c r="AD60">
        <v>46</v>
      </c>
      <c r="AE60">
        <v>46</v>
      </c>
      <c r="AF60">
        <v>41</v>
      </c>
      <c r="AG60">
        <v>41</v>
      </c>
    </row>
    <row r="61" spans="1:39" x14ac:dyDescent="0.25">
      <c r="A61" t="s">
        <v>186</v>
      </c>
      <c r="B61">
        <v>5</v>
      </c>
      <c r="C61">
        <v>5</v>
      </c>
      <c r="D61">
        <v>15</v>
      </c>
      <c r="E61">
        <v>13</v>
      </c>
      <c r="F61">
        <v>5</v>
      </c>
      <c r="G61">
        <v>32</v>
      </c>
      <c r="H61">
        <v>31</v>
      </c>
      <c r="I61" s="15">
        <v>4</v>
      </c>
      <c r="J61" s="14">
        <v>5</v>
      </c>
      <c r="K61">
        <v>17</v>
      </c>
      <c r="L61">
        <v>27</v>
      </c>
      <c r="M61">
        <v>15</v>
      </c>
      <c r="N61">
        <v>14</v>
      </c>
      <c r="O61">
        <v>5</v>
      </c>
      <c r="P61">
        <v>12</v>
      </c>
      <c r="Q61" s="15">
        <v>6</v>
      </c>
      <c r="R61" s="14">
        <v>10</v>
      </c>
      <c r="S61">
        <v>31</v>
      </c>
      <c r="T61">
        <v>37</v>
      </c>
      <c r="U61">
        <v>33</v>
      </c>
      <c r="V61">
        <v>3</v>
      </c>
      <c r="W61">
        <v>7</v>
      </c>
      <c r="X61">
        <v>16</v>
      </c>
      <c r="Y61" s="15">
        <v>9</v>
      </c>
      <c r="Z61" s="14">
        <v>28</v>
      </c>
      <c r="AA61">
        <v>9</v>
      </c>
      <c r="AB61">
        <v>38</v>
      </c>
      <c r="AC61">
        <v>45</v>
      </c>
      <c r="AD61">
        <v>34</v>
      </c>
      <c r="AE61">
        <v>37</v>
      </c>
      <c r="AF61">
        <v>20</v>
      </c>
      <c r="AG61">
        <v>28</v>
      </c>
    </row>
    <row r="63" spans="1:39" x14ac:dyDescent="0.25">
      <c r="AI63" s="25"/>
      <c r="AJ63" s="37"/>
      <c r="AK63" s="37"/>
      <c r="AL63" s="37"/>
      <c r="AM63" s="37"/>
    </row>
    <row r="65" spans="35:39" x14ac:dyDescent="0.25">
      <c r="AI65" s="25"/>
      <c r="AJ65" s="12"/>
      <c r="AK65" s="12"/>
      <c r="AL65" s="12"/>
      <c r="AM65" s="12"/>
    </row>
    <row r="66" spans="35:39" x14ac:dyDescent="0.25">
      <c r="AI66" s="25"/>
      <c r="AJ66" s="12"/>
      <c r="AK66" s="12"/>
      <c r="AL66" s="12"/>
      <c r="AM66" s="12"/>
    </row>
    <row r="67" spans="35:39" x14ac:dyDescent="0.25">
      <c r="AJ67" s="12"/>
      <c r="AK67" s="12"/>
      <c r="AL67" s="12"/>
      <c r="AM67" s="12"/>
    </row>
    <row r="68" spans="35:39" x14ac:dyDescent="0.25">
      <c r="AI68" s="25"/>
      <c r="AJ68" s="12"/>
      <c r="AK68" s="12"/>
      <c r="AL68" s="12"/>
      <c r="AM68" s="12"/>
    </row>
    <row r="69" spans="35:39" x14ac:dyDescent="0.25">
      <c r="AI69" s="25"/>
      <c r="AJ69" s="12"/>
      <c r="AK69" s="12"/>
      <c r="AL69" s="12"/>
      <c r="AM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R69"/>
  <sheetViews>
    <sheetView zoomScale="55" zoomScaleNormal="55" workbookViewId="0">
      <selection activeCell="X40" sqref="X40"/>
    </sheetView>
  </sheetViews>
  <sheetFormatPr defaultRowHeight="15" x14ac:dyDescent="0.25"/>
  <sheetData>
    <row r="1" spans="1:18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Q1" s="25" t="s">
        <v>245</v>
      </c>
      <c r="R1" s="25" t="s">
        <v>246</v>
      </c>
    </row>
    <row r="2" spans="1:18" x14ac:dyDescent="0.25">
      <c r="A2" t="s">
        <v>3</v>
      </c>
      <c r="B2">
        <v>3347</v>
      </c>
      <c r="C2">
        <v>3361</v>
      </c>
      <c r="D2">
        <v>3752</v>
      </c>
      <c r="E2">
        <v>3601</v>
      </c>
      <c r="F2">
        <v>3253</v>
      </c>
      <c r="G2">
        <v>3398</v>
      </c>
      <c r="H2">
        <v>2708</v>
      </c>
      <c r="I2">
        <v>3585</v>
      </c>
      <c r="K2">
        <f>AVERAGE(B2:I2)</f>
        <v>3375.625</v>
      </c>
      <c r="M2">
        <f>AVERAGE(B2:E2)</f>
        <v>3515.25</v>
      </c>
      <c r="N2">
        <f>AVERAGE(F2:I2)</f>
        <v>3236</v>
      </c>
      <c r="Q2">
        <v>589</v>
      </c>
      <c r="R2">
        <f>K2-Q2</f>
        <v>2786.625</v>
      </c>
    </row>
    <row r="3" spans="1:18" x14ac:dyDescent="0.25">
      <c r="A3" t="s">
        <v>13</v>
      </c>
      <c r="B3">
        <v>3066</v>
      </c>
      <c r="C3">
        <v>2222</v>
      </c>
      <c r="D3">
        <v>2874</v>
      </c>
      <c r="E3">
        <v>2476</v>
      </c>
      <c r="F3">
        <v>2322</v>
      </c>
      <c r="G3">
        <v>2777</v>
      </c>
      <c r="H3">
        <v>2275</v>
      </c>
      <c r="I3">
        <v>2360</v>
      </c>
      <c r="K3">
        <f t="shared" ref="K3:K55" si="0">AVERAGE(B3:I3)</f>
        <v>2546.5</v>
      </c>
      <c r="M3">
        <f t="shared" ref="M3:M55" si="1">AVERAGE(B3:E3)</f>
        <v>2659.5</v>
      </c>
      <c r="N3">
        <f t="shared" ref="N3:N55" si="2">AVERAGE(F3:I3)</f>
        <v>2433.5</v>
      </c>
      <c r="Q3">
        <v>411</v>
      </c>
      <c r="R3">
        <f t="shared" ref="R3:R55" si="3">K3-Q3</f>
        <v>2135.5</v>
      </c>
    </row>
    <row r="4" spans="1:18" x14ac:dyDescent="0.25">
      <c r="A4" t="s">
        <v>68</v>
      </c>
      <c r="B4">
        <v>2323</v>
      </c>
      <c r="C4" s="4">
        <v>1319</v>
      </c>
      <c r="D4" s="4">
        <v>1461</v>
      </c>
      <c r="E4" s="4">
        <v>1500</v>
      </c>
      <c r="F4">
        <v>1172</v>
      </c>
      <c r="G4">
        <v>1400</v>
      </c>
      <c r="H4">
        <v>1229</v>
      </c>
      <c r="I4">
        <v>2115</v>
      </c>
      <c r="K4">
        <f t="shared" si="0"/>
        <v>1564.875</v>
      </c>
      <c r="M4">
        <f t="shared" si="1"/>
        <v>1650.75</v>
      </c>
      <c r="N4">
        <f t="shared" si="2"/>
        <v>1479</v>
      </c>
      <c r="Q4">
        <v>341</v>
      </c>
      <c r="R4">
        <f t="shared" si="3"/>
        <v>1223.875</v>
      </c>
    </row>
    <row r="5" spans="1:18" x14ac:dyDescent="0.25">
      <c r="A5" t="s">
        <v>69</v>
      </c>
      <c r="B5">
        <v>1581</v>
      </c>
      <c r="C5" s="4">
        <v>2305</v>
      </c>
      <c r="D5" s="4">
        <v>1186</v>
      </c>
      <c r="E5" s="4">
        <v>1488</v>
      </c>
      <c r="F5" s="4">
        <v>1660</v>
      </c>
      <c r="G5" s="4">
        <v>1273</v>
      </c>
      <c r="H5" s="4">
        <v>2070</v>
      </c>
      <c r="I5" s="4">
        <v>1307</v>
      </c>
      <c r="K5">
        <f t="shared" si="0"/>
        <v>1608.75</v>
      </c>
      <c r="M5">
        <f t="shared" si="1"/>
        <v>1640</v>
      </c>
      <c r="N5">
        <f t="shared" si="2"/>
        <v>1577.5</v>
      </c>
      <c r="Q5">
        <v>413</v>
      </c>
      <c r="R5">
        <f t="shared" si="3"/>
        <v>1195.75</v>
      </c>
    </row>
    <row r="6" spans="1:18" x14ac:dyDescent="0.25">
      <c r="A6" t="s">
        <v>70</v>
      </c>
      <c r="B6">
        <v>2252</v>
      </c>
      <c r="C6" s="4">
        <v>2671</v>
      </c>
      <c r="D6" s="4">
        <v>1986</v>
      </c>
      <c r="E6" s="4">
        <v>1916</v>
      </c>
      <c r="F6" s="4">
        <v>2121</v>
      </c>
      <c r="G6" s="4">
        <v>2968</v>
      </c>
      <c r="H6" s="4">
        <v>1640</v>
      </c>
      <c r="I6" s="4">
        <v>1848</v>
      </c>
      <c r="K6">
        <f t="shared" si="0"/>
        <v>2175.25</v>
      </c>
      <c r="M6">
        <f t="shared" si="1"/>
        <v>2206.25</v>
      </c>
      <c r="N6">
        <f t="shared" si="2"/>
        <v>2144.25</v>
      </c>
      <c r="Q6">
        <v>351</v>
      </c>
      <c r="R6">
        <f t="shared" si="3"/>
        <v>1824.25</v>
      </c>
    </row>
    <row r="7" spans="1:18" x14ac:dyDescent="0.25">
      <c r="A7" t="s">
        <v>74</v>
      </c>
      <c r="B7">
        <v>2841</v>
      </c>
      <c r="C7">
        <v>2410</v>
      </c>
      <c r="D7">
        <v>2834</v>
      </c>
      <c r="E7">
        <v>2952</v>
      </c>
      <c r="F7">
        <v>2462</v>
      </c>
      <c r="G7">
        <v>1585</v>
      </c>
      <c r="H7">
        <v>2117</v>
      </c>
      <c r="I7">
        <v>1995</v>
      </c>
      <c r="K7">
        <f t="shared" si="0"/>
        <v>2399.5</v>
      </c>
      <c r="M7">
        <f t="shared" si="1"/>
        <v>2759.25</v>
      </c>
      <c r="N7">
        <f t="shared" si="2"/>
        <v>2039.75</v>
      </c>
      <c r="Q7">
        <v>380</v>
      </c>
      <c r="R7">
        <f t="shared" si="3"/>
        <v>2019.5</v>
      </c>
    </row>
    <row r="8" spans="1:18" x14ac:dyDescent="0.25">
      <c r="A8" t="s">
        <v>79</v>
      </c>
      <c r="B8">
        <v>1219</v>
      </c>
      <c r="C8">
        <v>1430</v>
      </c>
      <c r="D8">
        <v>2015</v>
      </c>
      <c r="E8">
        <v>2086</v>
      </c>
      <c r="F8">
        <v>2846</v>
      </c>
      <c r="G8">
        <v>1784</v>
      </c>
      <c r="H8">
        <v>1995</v>
      </c>
      <c r="I8">
        <v>3404</v>
      </c>
      <c r="K8">
        <f t="shared" si="0"/>
        <v>2097.375</v>
      </c>
      <c r="M8">
        <f t="shared" si="1"/>
        <v>1687.5</v>
      </c>
      <c r="N8">
        <f t="shared" si="2"/>
        <v>2507.25</v>
      </c>
      <c r="Q8">
        <v>389</v>
      </c>
      <c r="R8">
        <f t="shared" si="3"/>
        <v>1708.375</v>
      </c>
    </row>
    <row r="9" spans="1:18" x14ac:dyDescent="0.25">
      <c r="A9" t="s">
        <v>80</v>
      </c>
      <c r="B9">
        <v>2657</v>
      </c>
      <c r="C9">
        <v>4627</v>
      </c>
      <c r="D9">
        <v>5218</v>
      </c>
      <c r="E9">
        <v>3575</v>
      </c>
      <c r="F9">
        <v>4008</v>
      </c>
      <c r="G9">
        <v>3296</v>
      </c>
      <c r="H9">
        <v>2717</v>
      </c>
      <c r="I9">
        <v>3634</v>
      </c>
      <c r="K9">
        <f t="shared" si="0"/>
        <v>3716.5</v>
      </c>
      <c r="M9">
        <f t="shared" si="1"/>
        <v>4019.25</v>
      </c>
      <c r="N9">
        <f t="shared" si="2"/>
        <v>3413.75</v>
      </c>
      <c r="Q9">
        <v>594</v>
      </c>
      <c r="R9">
        <f t="shared" si="3"/>
        <v>3122.5</v>
      </c>
    </row>
    <row r="10" spans="1:18" x14ac:dyDescent="0.25">
      <c r="A10" t="s">
        <v>86</v>
      </c>
      <c r="B10">
        <v>2251</v>
      </c>
      <c r="C10">
        <v>1983</v>
      </c>
      <c r="D10">
        <v>2568</v>
      </c>
      <c r="E10">
        <v>1769</v>
      </c>
      <c r="F10">
        <v>1592</v>
      </c>
      <c r="G10">
        <v>1872</v>
      </c>
      <c r="H10">
        <v>1495</v>
      </c>
      <c r="I10">
        <v>1419</v>
      </c>
      <c r="K10">
        <f t="shared" si="0"/>
        <v>1868.625</v>
      </c>
      <c r="M10">
        <f t="shared" si="1"/>
        <v>2142.75</v>
      </c>
      <c r="N10">
        <f t="shared" si="2"/>
        <v>1594.5</v>
      </c>
      <c r="Q10">
        <v>391</v>
      </c>
      <c r="R10">
        <f t="shared" si="3"/>
        <v>1477.625</v>
      </c>
    </row>
    <row r="11" spans="1:18" x14ac:dyDescent="0.25">
      <c r="A11" t="s">
        <v>92</v>
      </c>
      <c r="B11">
        <v>1571</v>
      </c>
      <c r="C11">
        <v>1184</v>
      </c>
      <c r="D11">
        <v>1236</v>
      </c>
      <c r="E11">
        <v>1043</v>
      </c>
      <c r="F11">
        <v>1671</v>
      </c>
      <c r="G11">
        <v>1144</v>
      </c>
      <c r="H11">
        <v>1635</v>
      </c>
      <c r="I11">
        <v>1112</v>
      </c>
      <c r="K11">
        <f t="shared" si="0"/>
        <v>1324.5</v>
      </c>
      <c r="M11">
        <f t="shared" si="1"/>
        <v>1258.5</v>
      </c>
      <c r="N11">
        <f t="shared" si="2"/>
        <v>1390.5</v>
      </c>
      <c r="Q11">
        <v>342</v>
      </c>
      <c r="R11">
        <f t="shared" si="3"/>
        <v>982.5</v>
      </c>
    </row>
    <row r="12" spans="1:18" x14ac:dyDescent="0.25">
      <c r="A12" t="s">
        <v>93</v>
      </c>
      <c r="B12">
        <v>1809</v>
      </c>
      <c r="C12">
        <v>2930</v>
      </c>
      <c r="D12">
        <v>1632</v>
      </c>
      <c r="E12">
        <v>868</v>
      </c>
      <c r="F12">
        <v>1784</v>
      </c>
      <c r="G12">
        <v>1765</v>
      </c>
      <c r="H12">
        <v>1590</v>
      </c>
      <c r="I12">
        <v>1703</v>
      </c>
      <c r="K12">
        <f t="shared" si="0"/>
        <v>1760.125</v>
      </c>
      <c r="M12">
        <f t="shared" si="1"/>
        <v>1809.75</v>
      </c>
      <c r="N12">
        <f t="shared" si="2"/>
        <v>1710.5</v>
      </c>
      <c r="Q12">
        <v>417</v>
      </c>
      <c r="R12">
        <f t="shared" si="3"/>
        <v>1343.125</v>
      </c>
    </row>
    <row r="13" spans="1:18" x14ac:dyDescent="0.25">
      <c r="A13" t="s">
        <v>110</v>
      </c>
      <c r="B13">
        <v>2219</v>
      </c>
      <c r="C13">
        <v>1960</v>
      </c>
      <c r="D13">
        <v>3000</v>
      </c>
      <c r="E13">
        <v>2783</v>
      </c>
      <c r="F13">
        <v>2136</v>
      </c>
      <c r="G13">
        <v>2404</v>
      </c>
      <c r="H13">
        <v>2865</v>
      </c>
      <c r="I13">
        <v>3560</v>
      </c>
      <c r="K13">
        <f t="shared" si="0"/>
        <v>2615.875</v>
      </c>
      <c r="M13">
        <f t="shared" si="1"/>
        <v>2490.5</v>
      </c>
      <c r="N13">
        <f t="shared" si="2"/>
        <v>2741.25</v>
      </c>
      <c r="Q13">
        <v>527</v>
      </c>
      <c r="R13">
        <f t="shared" si="3"/>
        <v>2088.875</v>
      </c>
    </row>
    <row r="14" spans="1:18" x14ac:dyDescent="0.25">
      <c r="A14" t="s">
        <v>120</v>
      </c>
      <c r="B14">
        <v>2943</v>
      </c>
      <c r="C14">
        <v>2265</v>
      </c>
      <c r="D14">
        <v>2116</v>
      </c>
      <c r="E14">
        <v>1945</v>
      </c>
      <c r="F14">
        <v>2303</v>
      </c>
      <c r="G14">
        <v>1326</v>
      </c>
      <c r="H14">
        <v>940</v>
      </c>
      <c r="I14">
        <v>2205</v>
      </c>
      <c r="K14">
        <f t="shared" si="0"/>
        <v>2005.375</v>
      </c>
      <c r="M14">
        <f t="shared" si="1"/>
        <v>2317.25</v>
      </c>
      <c r="N14">
        <f t="shared" si="2"/>
        <v>1693.5</v>
      </c>
      <c r="Q14">
        <v>311</v>
      </c>
      <c r="R14">
        <f t="shared" si="3"/>
        <v>1694.375</v>
      </c>
    </row>
    <row r="15" spans="1:18" x14ac:dyDescent="0.25">
      <c r="A15" t="s">
        <v>125</v>
      </c>
      <c r="B15">
        <v>1447</v>
      </c>
      <c r="C15">
        <v>1766</v>
      </c>
      <c r="D15">
        <v>2264</v>
      </c>
      <c r="E15">
        <v>1939</v>
      </c>
      <c r="F15">
        <v>1008</v>
      </c>
      <c r="G15">
        <v>1951</v>
      </c>
      <c r="H15">
        <v>1823</v>
      </c>
      <c r="I15">
        <v>1583</v>
      </c>
      <c r="K15">
        <f t="shared" si="0"/>
        <v>1722.625</v>
      </c>
      <c r="M15">
        <f t="shared" si="1"/>
        <v>1854</v>
      </c>
      <c r="N15">
        <f t="shared" si="2"/>
        <v>1591.25</v>
      </c>
      <c r="Q15">
        <v>349</v>
      </c>
      <c r="R15">
        <f t="shared" si="3"/>
        <v>1373.625</v>
      </c>
    </row>
    <row r="16" spans="1:18" x14ac:dyDescent="0.25">
      <c r="A16" t="s">
        <v>130</v>
      </c>
      <c r="B16">
        <v>1852</v>
      </c>
      <c r="C16">
        <v>2033</v>
      </c>
      <c r="D16">
        <v>2023</v>
      </c>
      <c r="E16">
        <v>2307</v>
      </c>
      <c r="F16">
        <v>2235</v>
      </c>
      <c r="G16">
        <v>2102</v>
      </c>
      <c r="H16">
        <v>3145</v>
      </c>
      <c r="I16">
        <v>2122</v>
      </c>
      <c r="K16">
        <f t="shared" si="0"/>
        <v>2227.375</v>
      </c>
      <c r="M16">
        <f t="shared" si="1"/>
        <v>2053.75</v>
      </c>
      <c r="N16">
        <f t="shared" si="2"/>
        <v>2401</v>
      </c>
      <c r="Q16">
        <v>372</v>
      </c>
      <c r="R16">
        <f t="shared" si="3"/>
        <v>1855.375</v>
      </c>
    </row>
    <row r="17" spans="1:18" x14ac:dyDescent="0.25">
      <c r="A17" t="s">
        <v>145</v>
      </c>
      <c r="B17">
        <v>2221</v>
      </c>
      <c r="C17">
        <v>2989</v>
      </c>
      <c r="D17">
        <v>2528</v>
      </c>
      <c r="E17">
        <v>2005</v>
      </c>
      <c r="F17">
        <v>1965</v>
      </c>
      <c r="G17">
        <v>2561</v>
      </c>
      <c r="H17">
        <v>2036</v>
      </c>
      <c r="I17">
        <v>1873</v>
      </c>
      <c r="K17">
        <f t="shared" si="0"/>
        <v>2272.25</v>
      </c>
      <c r="M17">
        <f t="shared" si="1"/>
        <v>2435.75</v>
      </c>
      <c r="N17">
        <f t="shared" si="2"/>
        <v>2108.75</v>
      </c>
      <c r="Q17">
        <v>328</v>
      </c>
      <c r="R17">
        <f t="shared" si="3"/>
        <v>1944.25</v>
      </c>
    </row>
    <row r="18" spans="1:18" x14ac:dyDescent="0.25">
      <c r="A18" t="s">
        <v>144</v>
      </c>
      <c r="B18">
        <v>3484</v>
      </c>
      <c r="C18">
        <v>4832</v>
      </c>
      <c r="D18">
        <v>4218</v>
      </c>
      <c r="E18">
        <v>2074</v>
      </c>
      <c r="F18">
        <v>3287</v>
      </c>
      <c r="G18">
        <v>4862</v>
      </c>
      <c r="H18">
        <v>3091</v>
      </c>
      <c r="I18">
        <v>3500</v>
      </c>
      <c r="K18">
        <f t="shared" si="0"/>
        <v>3668.5</v>
      </c>
      <c r="M18">
        <f t="shared" si="1"/>
        <v>3652</v>
      </c>
      <c r="N18">
        <f t="shared" si="2"/>
        <v>3685</v>
      </c>
      <c r="Q18">
        <v>333</v>
      </c>
      <c r="R18">
        <f t="shared" si="3"/>
        <v>3335.5</v>
      </c>
    </row>
    <row r="19" spans="1:18" x14ac:dyDescent="0.25">
      <c r="A19" t="s">
        <v>132</v>
      </c>
      <c r="B19">
        <v>2767</v>
      </c>
      <c r="C19">
        <v>2908</v>
      </c>
      <c r="D19">
        <v>3201</v>
      </c>
      <c r="E19">
        <v>1798</v>
      </c>
      <c r="F19">
        <v>2381</v>
      </c>
      <c r="G19">
        <v>2286</v>
      </c>
      <c r="H19">
        <v>2018</v>
      </c>
      <c r="I19">
        <v>1632</v>
      </c>
      <c r="K19">
        <f t="shared" si="0"/>
        <v>2373.875</v>
      </c>
      <c r="M19">
        <f t="shared" si="1"/>
        <v>2668.5</v>
      </c>
      <c r="N19">
        <f t="shared" si="2"/>
        <v>2079.25</v>
      </c>
      <c r="Q19">
        <v>328</v>
      </c>
      <c r="R19">
        <f t="shared" si="3"/>
        <v>2045.875</v>
      </c>
    </row>
    <row r="20" spans="1:18" x14ac:dyDescent="0.25">
      <c r="A20" t="s">
        <v>146</v>
      </c>
      <c r="B20">
        <v>1884</v>
      </c>
      <c r="C20">
        <v>2677</v>
      </c>
      <c r="D20">
        <v>3296</v>
      </c>
      <c r="E20">
        <v>2639</v>
      </c>
      <c r="F20">
        <v>2068</v>
      </c>
      <c r="G20">
        <v>2747</v>
      </c>
      <c r="H20">
        <v>4286</v>
      </c>
      <c r="I20">
        <v>2212</v>
      </c>
      <c r="K20">
        <f t="shared" si="0"/>
        <v>2726.125</v>
      </c>
      <c r="M20">
        <f t="shared" si="1"/>
        <v>2624</v>
      </c>
      <c r="N20">
        <f t="shared" si="2"/>
        <v>2828.25</v>
      </c>
      <c r="Q20">
        <v>450</v>
      </c>
      <c r="R20">
        <f t="shared" si="3"/>
        <v>2276.125</v>
      </c>
    </row>
    <row r="21" spans="1:18" x14ac:dyDescent="0.25">
      <c r="A21" t="s">
        <v>147</v>
      </c>
      <c r="B21">
        <v>1861</v>
      </c>
      <c r="C21">
        <v>1893</v>
      </c>
      <c r="D21">
        <v>2018</v>
      </c>
      <c r="E21">
        <v>1187</v>
      </c>
      <c r="F21">
        <v>1893</v>
      </c>
      <c r="G21">
        <v>2099</v>
      </c>
      <c r="H21">
        <v>1986</v>
      </c>
      <c r="I21">
        <v>1455</v>
      </c>
      <c r="K21">
        <f t="shared" si="0"/>
        <v>1799</v>
      </c>
      <c r="M21">
        <f t="shared" si="1"/>
        <v>1739.75</v>
      </c>
      <c r="N21">
        <f t="shared" si="2"/>
        <v>1858.25</v>
      </c>
      <c r="Q21">
        <v>378</v>
      </c>
      <c r="R21">
        <f t="shared" si="3"/>
        <v>1421</v>
      </c>
    </row>
    <row r="22" spans="1:18" x14ac:dyDescent="0.25">
      <c r="A22" t="s">
        <v>155</v>
      </c>
      <c r="B22">
        <v>3342</v>
      </c>
      <c r="C22">
        <v>1979</v>
      </c>
      <c r="D22">
        <v>1228</v>
      </c>
      <c r="E22">
        <v>1948</v>
      </c>
      <c r="F22">
        <v>1777</v>
      </c>
      <c r="G22">
        <v>1850</v>
      </c>
      <c r="H22">
        <v>2270</v>
      </c>
      <c r="I22">
        <v>2240</v>
      </c>
      <c r="K22">
        <f t="shared" si="0"/>
        <v>2079.25</v>
      </c>
      <c r="M22">
        <f t="shared" si="1"/>
        <v>2124.25</v>
      </c>
      <c r="N22">
        <f t="shared" si="2"/>
        <v>2034.25</v>
      </c>
      <c r="Q22">
        <v>333</v>
      </c>
      <c r="R22">
        <f t="shared" si="3"/>
        <v>1746.25</v>
      </c>
    </row>
    <row r="23" spans="1:18" x14ac:dyDescent="0.25">
      <c r="A23" t="s">
        <v>158</v>
      </c>
      <c r="B23">
        <v>707</v>
      </c>
      <c r="C23">
        <v>716</v>
      </c>
      <c r="D23">
        <v>950</v>
      </c>
      <c r="E23">
        <v>2019</v>
      </c>
      <c r="F23">
        <v>2016</v>
      </c>
      <c r="G23">
        <v>2253</v>
      </c>
      <c r="H23">
        <v>2005</v>
      </c>
      <c r="I23">
        <v>1485</v>
      </c>
      <c r="K23">
        <f t="shared" si="0"/>
        <v>1518.875</v>
      </c>
      <c r="M23">
        <f t="shared" si="1"/>
        <v>1098</v>
      </c>
      <c r="N23">
        <f t="shared" si="2"/>
        <v>1939.75</v>
      </c>
      <c r="Q23">
        <v>378</v>
      </c>
      <c r="R23">
        <f t="shared" si="3"/>
        <v>1140.875</v>
      </c>
    </row>
    <row r="24" spans="1:18" x14ac:dyDescent="0.25">
      <c r="A24" t="s">
        <v>162</v>
      </c>
      <c r="B24">
        <v>2506</v>
      </c>
      <c r="C24">
        <v>2231</v>
      </c>
      <c r="D24">
        <v>2382</v>
      </c>
      <c r="E24">
        <v>2576</v>
      </c>
      <c r="F24">
        <v>2258</v>
      </c>
      <c r="G24">
        <v>2696</v>
      </c>
      <c r="H24">
        <v>1207</v>
      </c>
      <c r="I24">
        <v>1869</v>
      </c>
      <c r="K24">
        <f>AVERAGE(B24:I24)</f>
        <v>2215.625</v>
      </c>
      <c r="M24">
        <f>AVERAGE(C24:F24)</f>
        <v>2361.75</v>
      </c>
      <c r="N24">
        <f>AVERAGE(G24:I24)</f>
        <v>1924</v>
      </c>
      <c r="Q24">
        <v>425</v>
      </c>
      <c r="R24">
        <f t="shared" si="3"/>
        <v>1790.625</v>
      </c>
    </row>
    <row r="25" spans="1:18" x14ac:dyDescent="0.25">
      <c r="A25" t="s">
        <v>160</v>
      </c>
      <c r="B25">
        <v>1745</v>
      </c>
      <c r="C25">
        <v>3437</v>
      </c>
      <c r="D25">
        <v>2416</v>
      </c>
      <c r="E25">
        <v>2916</v>
      </c>
      <c r="F25">
        <v>3536</v>
      </c>
      <c r="G25">
        <v>2658</v>
      </c>
      <c r="H25">
        <v>2467</v>
      </c>
      <c r="I25">
        <v>2258</v>
      </c>
      <c r="K25">
        <f t="shared" ref="K25:K30" si="4">AVERAGE(B25:I25)</f>
        <v>2679.125</v>
      </c>
      <c r="M25">
        <f t="shared" ref="M25:M30" si="5">AVERAGE(B25:E25)</f>
        <v>2628.5</v>
      </c>
      <c r="N25">
        <f t="shared" ref="N25:N30" si="6">AVERAGE(F25:I25)</f>
        <v>2729.75</v>
      </c>
      <c r="Q25">
        <v>578</v>
      </c>
      <c r="R25">
        <f t="shared" si="3"/>
        <v>2101.125</v>
      </c>
    </row>
    <row r="26" spans="1:18" x14ac:dyDescent="0.25">
      <c r="A26" t="s">
        <v>173</v>
      </c>
      <c r="B26">
        <v>2433</v>
      </c>
      <c r="C26">
        <v>2185</v>
      </c>
      <c r="D26">
        <v>1979</v>
      </c>
      <c r="E26">
        <v>2232</v>
      </c>
      <c r="F26">
        <v>5551</v>
      </c>
      <c r="G26">
        <v>2380</v>
      </c>
      <c r="H26">
        <v>2090</v>
      </c>
      <c r="I26">
        <v>2359</v>
      </c>
      <c r="K26">
        <f t="shared" si="4"/>
        <v>2651.125</v>
      </c>
      <c r="M26">
        <f t="shared" si="5"/>
        <v>2207.25</v>
      </c>
      <c r="N26">
        <f t="shared" si="6"/>
        <v>3095</v>
      </c>
      <c r="Q26">
        <v>318</v>
      </c>
      <c r="R26">
        <f t="shared" si="3"/>
        <v>2333.125</v>
      </c>
    </row>
    <row r="27" spans="1:18" x14ac:dyDescent="0.25">
      <c r="A27" t="s">
        <v>174</v>
      </c>
      <c r="B27">
        <v>2024</v>
      </c>
      <c r="C27">
        <v>2928</v>
      </c>
      <c r="D27">
        <v>1533</v>
      </c>
      <c r="E27">
        <v>2265</v>
      </c>
      <c r="F27">
        <v>3264</v>
      </c>
      <c r="G27">
        <v>2356</v>
      </c>
      <c r="H27">
        <v>1931</v>
      </c>
      <c r="I27">
        <v>2094</v>
      </c>
      <c r="K27">
        <f t="shared" si="4"/>
        <v>2299.375</v>
      </c>
      <c r="M27">
        <f t="shared" si="5"/>
        <v>2187.5</v>
      </c>
      <c r="N27">
        <f t="shared" si="6"/>
        <v>2411.25</v>
      </c>
      <c r="Q27">
        <v>418</v>
      </c>
      <c r="R27">
        <f t="shared" si="3"/>
        <v>1881.375</v>
      </c>
    </row>
    <row r="28" spans="1:18" x14ac:dyDescent="0.25">
      <c r="A28" t="s">
        <v>175</v>
      </c>
      <c r="B28">
        <v>1293</v>
      </c>
      <c r="C28">
        <v>2451</v>
      </c>
      <c r="D28">
        <v>1699</v>
      </c>
      <c r="E28">
        <v>1392</v>
      </c>
      <c r="F28">
        <v>1524</v>
      </c>
      <c r="G28">
        <v>1886</v>
      </c>
      <c r="H28">
        <v>1878</v>
      </c>
      <c r="I28">
        <v>2151</v>
      </c>
      <c r="K28">
        <f t="shared" si="4"/>
        <v>1784.25</v>
      </c>
      <c r="M28">
        <f t="shared" si="5"/>
        <v>1708.75</v>
      </c>
      <c r="N28">
        <f t="shared" si="6"/>
        <v>1859.75</v>
      </c>
      <c r="Q28">
        <v>303</v>
      </c>
      <c r="R28">
        <f t="shared" si="3"/>
        <v>1481.25</v>
      </c>
    </row>
    <row r="29" spans="1:18" x14ac:dyDescent="0.25">
      <c r="A29" t="s">
        <v>187</v>
      </c>
      <c r="B29">
        <v>2879</v>
      </c>
      <c r="C29">
        <v>2440</v>
      </c>
      <c r="D29">
        <v>2466</v>
      </c>
      <c r="E29">
        <v>1575</v>
      </c>
      <c r="F29">
        <v>2575</v>
      </c>
      <c r="G29">
        <v>2598</v>
      </c>
      <c r="H29">
        <v>1805</v>
      </c>
      <c r="I29">
        <v>2246</v>
      </c>
      <c r="K29">
        <f t="shared" si="4"/>
        <v>2323</v>
      </c>
      <c r="M29">
        <f t="shared" si="5"/>
        <v>2340</v>
      </c>
      <c r="N29">
        <f t="shared" si="6"/>
        <v>2306</v>
      </c>
      <c r="Q29">
        <v>357</v>
      </c>
      <c r="R29">
        <f t="shared" si="3"/>
        <v>1966</v>
      </c>
    </row>
    <row r="30" spans="1:18" x14ac:dyDescent="0.25">
      <c r="A30" t="s">
        <v>186</v>
      </c>
      <c r="B30">
        <v>1512</v>
      </c>
      <c r="C30">
        <v>1487</v>
      </c>
      <c r="D30">
        <v>3400</v>
      </c>
      <c r="E30">
        <v>2273</v>
      </c>
      <c r="F30">
        <v>1099</v>
      </c>
      <c r="G30">
        <v>1364</v>
      </c>
      <c r="H30">
        <v>1061</v>
      </c>
      <c r="I30">
        <v>1324</v>
      </c>
      <c r="K30">
        <f t="shared" si="4"/>
        <v>1690</v>
      </c>
      <c r="M30">
        <f t="shared" si="5"/>
        <v>2168</v>
      </c>
      <c r="N30">
        <f t="shared" si="6"/>
        <v>1212</v>
      </c>
      <c r="Q30">
        <v>349</v>
      </c>
      <c r="R30">
        <f t="shared" si="3"/>
        <v>1341</v>
      </c>
    </row>
    <row r="32" spans="1:18" s="25" customFormat="1" x14ac:dyDescent="0.25">
      <c r="A32" s="25" t="s">
        <v>1</v>
      </c>
    </row>
    <row r="33" spans="1:18" x14ac:dyDescent="0.25">
      <c r="A33" t="s">
        <v>3</v>
      </c>
      <c r="B33">
        <v>3196</v>
      </c>
      <c r="C33">
        <v>3436</v>
      </c>
      <c r="D33">
        <v>4058</v>
      </c>
      <c r="E33">
        <v>2595</v>
      </c>
      <c r="F33">
        <v>3306</v>
      </c>
      <c r="G33">
        <v>3648</v>
      </c>
      <c r="H33">
        <v>3729</v>
      </c>
      <c r="I33">
        <v>3144</v>
      </c>
      <c r="K33">
        <f t="shared" si="0"/>
        <v>3389</v>
      </c>
      <c r="M33">
        <f t="shared" si="1"/>
        <v>3321.25</v>
      </c>
      <c r="N33">
        <f t="shared" si="2"/>
        <v>3456.75</v>
      </c>
      <c r="Q33">
        <v>578</v>
      </c>
      <c r="R33">
        <f t="shared" si="3"/>
        <v>2811</v>
      </c>
    </row>
    <row r="34" spans="1:18" x14ac:dyDescent="0.25">
      <c r="A34" t="s">
        <v>13</v>
      </c>
      <c r="B34">
        <v>2622</v>
      </c>
      <c r="C34">
        <v>1959</v>
      </c>
      <c r="D34">
        <v>1979</v>
      </c>
      <c r="E34">
        <v>2509</v>
      </c>
      <c r="F34">
        <v>2485</v>
      </c>
      <c r="G34">
        <v>2846</v>
      </c>
      <c r="H34">
        <v>2270</v>
      </c>
      <c r="I34">
        <v>2862</v>
      </c>
      <c r="K34">
        <f t="shared" si="0"/>
        <v>2441.5</v>
      </c>
      <c r="M34">
        <f t="shared" si="1"/>
        <v>2267.25</v>
      </c>
      <c r="N34">
        <f t="shared" si="2"/>
        <v>2615.75</v>
      </c>
      <c r="Q34">
        <v>409</v>
      </c>
      <c r="R34">
        <f t="shared" si="3"/>
        <v>2032.5</v>
      </c>
    </row>
    <row r="35" spans="1:18" x14ac:dyDescent="0.25">
      <c r="A35" t="s">
        <v>68</v>
      </c>
      <c r="B35">
        <v>1754</v>
      </c>
      <c r="C35">
        <v>2554</v>
      </c>
      <c r="D35">
        <v>1194</v>
      </c>
      <c r="E35">
        <v>2519</v>
      </c>
      <c r="F35">
        <v>2567</v>
      </c>
      <c r="G35">
        <v>2524</v>
      </c>
      <c r="H35">
        <v>1695</v>
      </c>
      <c r="I35">
        <v>5800</v>
      </c>
      <c r="K35">
        <f t="shared" si="0"/>
        <v>2575.875</v>
      </c>
      <c r="M35">
        <f t="shared" si="1"/>
        <v>2005.25</v>
      </c>
      <c r="N35">
        <f t="shared" si="2"/>
        <v>3146.5</v>
      </c>
      <c r="Q35">
        <v>333</v>
      </c>
      <c r="R35">
        <f t="shared" si="3"/>
        <v>2242.875</v>
      </c>
    </row>
    <row r="36" spans="1:18" x14ac:dyDescent="0.25">
      <c r="A36" t="s">
        <v>69</v>
      </c>
      <c r="B36">
        <v>2666</v>
      </c>
      <c r="C36">
        <v>2398</v>
      </c>
      <c r="D36">
        <v>1744</v>
      </c>
      <c r="E36">
        <v>2124</v>
      </c>
      <c r="F36">
        <v>3034</v>
      </c>
      <c r="G36">
        <v>2144</v>
      </c>
      <c r="H36">
        <v>1737</v>
      </c>
      <c r="I36">
        <v>1453</v>
      </c>
      <c r="K36">
        <f t="shared" si="0"/>
        <v>2162.5</v>
      </c>
      <c r="M36">
        <f t="shared" si="1"/>
        <v>2233</v>
      </c>
      <c r="N36">
        <f t="shared" si="2"/>
        <v>2092</v>
      </c>
      <c r="Q36">
        <v>248</v>
      </c>
      <c r="R36">
        <f t="shared" si="3"/>
        <v>1914.5</v>
      </c>
    </row>
    <row r="37" spans="1:18" x14ac:dyDescent="0.25">
      <c r="A37" t="s">
        <v>70</v>
      </c>
      <c r="B37">
        <v>1584</v>
      </c>
      <c r="C37">
        <v>2480</v>
      </c>
      <c r="D37">
        <v>2609</v>
      </c>
      <c r="E37">
        <v>2372</v>
      </c>
      <c r="F37">
        <v>1182</v>
      </c>
      <c r="G37">
        <v>1231</v>
      </c>
      <c r="H37">
        <v>960</v>
      </c>
      <c r="I37">
        <v>2284</v>
      </c>
      <c r="K37">
        <f t="shared" si="0"/>
        <v>1837.75</v>
      </c>
      <c r="M37">
        <f t="shared" si="1"/>
        <v>2261.25</v>
      </c>
      <c r="N37">
        <f t="shared" si="2"/>
        <v>1414.25</v>
      </c>
      <c r="Q37">
        <v>352</v>
      </c>
      <c r="R37">
        <f t="shared" si="3"/>
        <v>1485.75</v>
      </c>
    </row>
    <row r="38" spans="1:18" x14ac:dyDescent="0.25">
      <c r="A38" t="s">
        <v>74</v>
      </c>
      <c r="B38">
        <v>2688</v>
      </c>
      <c r="C38">
        <v>2395</v>
      </c>
      <c r="D38">
        <v>2080</v>
      </c>
      <c r="E38">
        <v>3755</v>
      </c>
      <c r="F38">
        <v>1799</v>
      </c>
      <c r="G38">
        <v>2321</v>
      </c>
      <c r="H38">
        <v>2256</v>
      </c>
      <c r="I38">
        <v>2206</v>
      </c>
      <c r="K38">
        <f t="shared" si="0"/>
        <v>2437.5</v>
      </c>
      <c r="M38">
        <f t="shared" si="1"/>
        <v>2729.5</v>
      </c>
      <c r="N38">
        <f t="shared" si="2"/>
        <v>2145.5</v>
      </c>
      <c r="Q38">
        <v>381</v>
      </c>
      <c r="R38">
        <f t="shared" si="3"/>
        <v>2056.5</v>
      </c>
    </row>
    <row r="39" spans="1:18" x14ac:dyDescent="0.25">
      <c r="A39" t="s">
        <v>79</v>
      </c>
      <c r="B39">
        <v>2501</v>
      </c>
      <c r="C39">
        <v>2387</v>
      </c>
      <c r="D39">
        <v>2132</v>
      </c>
      <c r="E39">
        <v>1971</v>
      </c>
      <c r="F39">
        <v>2639</v>
      </c>
      <c r="G39">
        <v>2461</v>
      </c>
      <c r="H39">
        <v>1811</v>
      </c>
      <c r="I39">
        <v>2738</v>
      </c>
      <c r="K39">
        <f t="shared" si="0"/>
        <v>2330</v>
      </c>
      <c r="M39">
        <f t="shared" si="1"/>
        <v>2247.75</v>
      </c>
      <c r="N39">
        <f t="shared" si="2"/>
        <v>2412.25</v>
      </c>
      <c r="Q39">
        <v>398</v>
      </c>
      <c r="R39">
        <f t="shared" si="3"/>
        <v>1932</v>
      </c>
    </row>
    <row r="40" spans="1:18" x14ac:dyDescent="0.25">
      <c r="A40" t="s">
        <v>80</v>
      </c>
      <c r="B40">
        <v>4863</v>
      </c>
      <c r="C40">
        <v>2587</v>
      </c>
      <c r="D40">
        <v>3492</v>
      </c>
      <c r="E40">
        <v>5325</v>
      </c>
      <c r="F40">
        <v>4090</v>
      </c>
      <c r="G40">
        <v>4029</v>
      </c>
      <c r="H40">
        <v>4898</v>
      </c>
      <c r="I40">
        <v>4936</v>
      </c>
      <c r="K40">
        <f t="shared" si="0"/>
        <v>4277.5</v>
      </c>
      <c r="M40">
        <f t="shared" si="1"/>
        <v>4066.75</v>
      </c>
      <c r="N40">
        <f t="shared" si="2"/>
        <v>4488.25</v>
      </c>
      <c r="Q40">
        <v>596</v>
      </c>
      <c r="R40">
        <f t="shared" si="3"/>
        <v>3681.5</v>
      </c>
    </row>
    <row r="41" spans="1:18" x14ac:dyDescent="0.25">
      <c r="A41" t="s">
        <v>86</v>
      </c>
      <c r="B41">
        <v>2081</v>
      </c>
      <c r="C41">
        <v>1575</v>
      </c>
      <c r="D41">
        <v>917</v>
      </c>
      <c r="E41">
        <v>1368</v>
      </c>
      <c r="F41">
        <v>1670</v>
      </c>
      <c r="G41">
        <v>1759</v>
      </c>
      <c r="H41">
        <v>1781</v>
      </c>
      <c r="I41">
        <v>2118</v>
      </c>
      <c r="K41">
        <f t="shared" si="0"/>
        <v>1658.625</v>
      </c>
      <c r="M41">
        <f t="shared" si="1"/>
        <v>1485.25</v>
      </c>
      <c r="N41">
        <f t="shared" si="2"/>
        <v>1832</v>
      </c>
      <c r="Q41">
        <v>381</v>
      </c>
      <c r="R41">
        <f t="shared" si="3"/>
        <v>1277.625</v>
      </c>
    </row>
    <row r="42" spans="1:18" x14ac:dyDescent="0.25">
      <c r="A42" t="s">
        <v>92</v>
      </c>
      <c r="B42" s="4">
        <v>740</v>
      </c>
      <c r="C42" s="4">
        <v>1708</v>
      </c>
      <c r="D42" s="4">
        <v>1279</v>
      </c>
      <c r="E42" s="4">
        <v>1893</v>
      </c>
      <c r="F42" s="4">
        <v>1192</v>
      </c>
      <c r="G42" s="4">
        <v>1337</v>
      </c>
      <c r="H42" s="4">
        <v>1779</v>
      </c>
      <c r="I42" s="4">
        <v>1194</v>
      </c>
      <c r="K42">
        <f t="shared" si="0"/>
        <v>1390.25</v>
      </c>
      <c r="M42">
        <f t="shared" si="1"/>
        <v>1405</v>
      </c>
      <c r="N42">
        <f t="shared" si="2"/>
        <v>1375.5</v>
      </c>
      <c r="Q42">
        <v>339</v>
      </c>
      <c r="R42">
        <f t="shared" si="3"/>
        <v>1051.25</v>
      </c>
    </row>
    <row r="43" spans="1:18" x14ac:dyDescent="0.25">
      <c r="A43" t="s">
        <v>93</v>
      </c>
      <c r="B43" s="4">
        <v>2443</v>
      </c>
      <c r="C43" s="4">
        <v>2158</v>
      </c>
      <c r="D43" s="4">
        <v>1455</v>
      </c>
      <c r="E43" s="4">
        <v>1981</v>
      </c>
      <c r="F43" s="4">
        <v>1393</v>
      </c>
      <c r="G43" s="4">
        <v>1490</v>
      </c>
      <c r="H43" s="4">
        <v>1553</v>
      </c>
      <c r="I43" s="4">
        <v>2439</v>
      </c>
      <c r="K43">
        <f t="shared" si="0"/>
        <v>1864</v>
      </c>
      <c r="M43">
        <f t="shared" si="1"/>
        <v>2009.25</v>
      </c>
      <c r="N43">
        <f t="shared" si="2"/>
        <v>1718.75</v>
      </c>
      <c r="Q43">
        <v>415</v>
      </c>
      <c r="R43">
        <f t="shared" si="3"/>
        <v>1449</v>
      </c>
    </row>
    <row r="44" spans="1:18" x14ac:dyDescent="0.25">
      <c r="A44" t="s">
        <v>110</v>
      </c>
      <c r="B44" s="4">
        <v>2547</v>
      </c>
      <c r="C44" s="4">
        <v>3093</v>
      </c>
      <c r="D44" s="4">
        <v>4045</v>
      </c>
      <c r="E44" s="4">
        <v>5668</v>
      </c>
      <c r="F44" s="4">
        <v>2676</v>
      </c>
      <c r="G44" s="4">
        <v>3905</v>
      </c>
      <c r="H44" s="4">
        <v>2473</v>
      </c>
      <c r="I44" s="4">
        <v>5485</v>
      </c>
      <c r="K44">
        <f t="shared" si="0"/>
        <v>3736.5</v>
      </c>
      <c r="M44">
        <f t="shared" si="1"/>
        <v>3838.25</v>
      </c>
      <c r="N44">
        <f t="shared" si="2"/>
        <v>3634.75</v>
      </c>
      <c r="Q44">
        <v>537</v>
      </c>
      <c r="R44">
        <f t="shared" si="3"/>
        <v>3199.5</v>
      </c>
    </row>
    <row r="45" spans="1:18" x14ac:dyDescent="0.25">
      <c r="A45" t="s">
        <v>120</v>
      </c>
      <c r="B45">
        <v>2547</v>
      </c>
      <c r="C45">
        <v>2010</v>
      </c>
      <c r="D45">
        <v>2416</v>
      </c>
      <c r="E45" s="7"/>
      <c r="F45">
        <v>1187</v>
      </c>
      <c r="G45">
        <v>2560</v>
      </c>
      <c r="H45">
        <v>2303</v>
      </c>
      <c r="I45">
        <v>2105</v>
      </c>
      <c r="K45">
        <f t="shared" si="0"/>
        <v>2161.1428571428573</v>
      </c>
      <c r="M45">
        <f t="shared" si="1"/>
        <v>2324.3333333333335</v>
      </c>
      <c r="N45">
        <f t="shared" si="2"/>
        <v>2038.75</v>
      </c>
      <c r="Q45">
        <v>314</v>
      </c>
      <c r="R45">
        <f t="shared" si="3"/>
        <v>1847.1428571428573</v>
      </c>
    </row>
    <row r="46" spans="1:18" x14ac:dyDescent="0.25">
      <c r="A46" t="s">
        <v>125</v>
      </c>
      <c r="B46">
        <v>1393</v>
      </c>
      <c r="C46">
        <v>1821</v>
      </c>
      <c r="D46">
        <v>1700</v>
      </c>
      <c r="E46">
        <v>1693</v>
      </c>
      <c r="F46">
        <v>849</v>
      </c>
      <c r="G46">
        <v>1790</v>
      </c>
      <c r="H46">
        <v>2307</v>
      </c>
      <c r="I46">
        <v>1658</v>
      </c>
      <c r="K46">
        <f t="shared" si="0"/>
        <v>1651.375</v>
      </c>
      <c r="M46">
        <f t="shared" si="1"/>
        <v>1651.75</v>
      </c>
      <c r="N46">
        <f t="shared" si="2"/>
        <v>1651</v>
      </c>
      <c r="Q46">
        <v>351</v>
      </c>
      <c r="R46">
        <f t="shared" si="3"/>
        <v>1300.375</v>
      </c>
    </row>
    <row r="47" spans="1:18" x14ac:dyDescent="0.25">
      <c r="A47" t="s">
        <v>130</v>
      </c>
      <c r="B47">
        <v>2095</v>
      </c>
      <c r="C47">
        <v>1937</v>
      </c>
      <c r="D47">
        <v>1940</v>
      </c>
      <c r="E47">
        <v>2305</v>
      </c>
      <c r="F47">
        <v>2266</v>
      </c>
      <c r="G47">
        <v>2426</v>
      </c>
      <c r="H47">
        <v>2550</v>
      </c>
      <c r="I47">
        <v>1822</v>
      </c>
      <c r="K47">
        <f t="shared" si="0"/>
        <v>2167.625</v>
      </c>
      <c r="M47">
        <f t="shared" si="1"/>
        <v>2069.25</v>
      </c>
      <c r="N47">
        <f t="shared" si="2"/>
        <v>2266</v>
      </c>
      <c r="Q47">
        <v>376</v>
      </c>
      <c r="R47">
        <f t="shared" si="3"/>
        <v>1791.625</v>
      </c>
    </row>
    <row r="48" spans="1:18" x14ac:dyDescent="0.25">
      <c r="A48" t="s">
        <v>145</v>
      </c>
      <c r="B48">
        <v>3197</v>
      </c>
      <c r="C48">
        <v>1181</v>
      </c>
      <c r="D48">
        <v>2064</v>
      </c>
      <c r="E48">
        <v>1965</v>
      </c>
      <c r="F48">
        <v>2996</v>
      </c>
      <c r="G48">
        <v>2500</v>
      </c>
      <c r="H48">
        <v>1673</v>
      </c>
      <c r="I48">
        <v>1523</v>
      </c>
      <c r="K48">
        <f t="shared" si="0"/>
        <v>2137.375</v>
      </c>
      <c r="M48">
        <f t="shared" si="1"/>
        <v>2101.75</v>
      </c>
      <c r="N48">
        <f t="shared" si="2"/>
        <v>2173</v>
      </c>
      <c r="Q48">
        <v>332</v>
      </c>
      <c r="R48">
        <f t="shared" si="3"/>
        <v>1805.375</v>
      </c>
    </row>
    <row r="49" spans="1:18" x14ac:dyDescent="0.25">
      <c r="A49" t="s">
        <v>144</v>
      </c>
      <c r="B49">
        <v>1666</v>
      </c>
      <c r="C49">
        <v>1851</v>
      </c>
      <c r="D49">
        <v>1707</v>
      </c>
      <c r="E49">
        <v>1791</v>
      </c>
      <c r="F49">
        <v>2358</v>
      </c>
      <c r="G49">
        <v>2970</v>
      </c>
      <c r="H49">
        <v>2541</v>
      </c>
      <c r="I49">
        <v>1991</v>
      </c>
      <c r="K49">
        <f t="shared" si="0"/>
        <v>2109.375</v>
      </c>
      <c r="M49">
        <f t="shared" si="1"/>
        <v>1753.75</v>
      </c>
      <c r="N49">
        <f t="shared" si="2"/>
        <v>2465</v>
      </c>
      <c r="Q49">
        <v>337</v>
      </c>
      <c r="R49">
        <f t="shared" si="3"/>
        <v>1772.375</v>
      </c>
    </row>
    <row r="50" spans="1:18" x14ac:dyDescent="0.25">
      <c r="A50" t="s">
        <v>132</v>
      </c>
      <c r="B50">
        <v>1719</v>
      </c>
      <c r="C50">
        <v>1027</v>
      </c>
      <c r="D50">
        <v>2234</v>
      </c>
      <c r="E50">
        <v>2375</v>
      </c>
      <c r="F50">
        <v>1295</v>
      </c>
      <c r="G50">
        <v>2290</v>
      </c>
      <c r="H50">
        <v>2588</v>
      </c>
      <c r="I50">
        <v>1489</v>
      </c>
      <c r="K50">
        <f t="shared" si="0"/>
        <v>1877.125</v>
      </c>
      <c r="M50">
        <f t="shared" si="1"/>
        <v>1838.75</v>
      </c>
      <c r="N50">
        <f t="shared" si="2"/>
        <v>1915.5</v>
      </c>
      <c r="Q50">
        <v>332</v>
      </c>
      <c r="R50">
        <f t="shared" si="3"/>
        <v>1545.125</v>
      </c>
    </row>
    <row r="51" spans="1:18" x14ac:dyDescent="0.25">
      <c r="A51" t="s">
        <v>146</v>
      </c>
      <c r="B51">
        <v>3254</v>
      </c>
      <c r="C51">
        <v>2410</v>
      </c>
      <c r="D51">
        <v>2962</v>
      </c>
      <c r="E51">
        <v>3209</v>
      </c>
      <c r="F51">
        <v>2836</v>
      </c>
      <c r="G51">
        <v>3496</v>
      </c>
      <c r="H51">
        <v>3502</v>
      </c>
      <c r="I51">
        <v>2515</v>
      </c>
      <c r="K51">
        <f t="shared" si="0"/>
        <v>3023</v>
      </c>
      <c r="M51">
        <f t="shared" si="1"/>
        <v>2958.75</v>
      </c>
      <c r="N51">
        <f t="shared" si="2"/>
        <v>3087.25</v>
      </c>
      <c r="Q51">
        <v>455</v>
      </c>
      <c r="R51">
        <f t="shared" si="3"/>
        <v>2568</v>
      </c>
    </row>
    <row r="52" spans="1:18" x14ac:dyDescent="0.25">
      <c r="A52" t="s">
        <v>147</v>
      </c>
      <c r="B52">
        <v>1787</v>
      </c>
      <c r="C52">
        <v>1542</v>
      </c>
      <c r="D52">
        <v>1881</v>
      </c>
      <c r="E52">
        <v>1642</v>
      </c>
      <c r="F52">
        <v>1967</v>
      </c>
      <c r="G52">
        <v>1605</v>
      </c>
      <c r="H52">
        <v>1679</v>
      </c>
      <c r="I52">
        <v>1565</v>
      </c>
      <c r="K52">
        <f t="shared" si="0"/>
        <v>1708.5</v>
      </c>
      <c r="M52">
        <f t="shared" si="1"/>
        <v>1713</v>
      </c>
      <c r="N52">
        <f t="shared" si="2"/>
        <v>1704</v>
      </c>
      <c r="Q52">
        <v>383</v>
      </c>
      <c r="R52">
        <f t="shared" si="3"/>
        <v>1325.5</v>
      </c>
    </row>
    <row r="53" spans="1:18" x14ac:dyDescent="0.25">
      <c r="A53" t="s">
        <v>155</v>
      </c>
      <c r="B53">
        <v>2606</v>
      </c>
      <c r="C53">
        <v>1933</v>
      </c>
      <c r="D53">
        <v>2269</v>
      </c>
      <c r="E53" s="7"/>
      <c r="F53">
        <v>2308</v>
      </c>
      <c r="G53">
        <v>1140</v>
      </c>
      <c r="H53">
        <v>1185</v>
      </c>
      <c r="I53">
        <v>1568</v>
      </c>
      <c r="K53">
        <f t="shared" si="0"/>
        <v>1858.4285714285713</v>
      </c>
      <c r="M53">
        <f t="shared" si="1"/>
        <v>2269.3333333333335</v>
      </c>
      <c r="N53">
        <f t="shared" si="2"/>
        <v>1550.25</v>
      </c>
      <c r="Q53">
        <v>340</v>
      </c>
      <c r="R53">
        <f t="shared" si="3"/>
        <v>1518.4285714285713</v>
      </c>
    </row>
    <row r="54" spans="1:18" x14ac:dyDescent="0.25">
      <c r="A54" t="s">
        <v>158</v>
      </c>
      <c r="B54">
        <v>1610</v>
      </c>
      <c r="C54">
        <v>2347</v>
      </c>
      <c r="D54">
        <v>3138</v>
      </c>
      <c r="E54">
        <v>2044</v>
      </c>
      <c r="F54">
        <v>1913</v>
      </c>
      <c r="G54">
        <v>2272</v>
      </c>
      <c r="H54">
        <v>2032</v>
      </c>
      <c r="I54">
        <v>1039</v>
      </c>
      <c r="K54">
        <f t="shared" si="0"/>
        <v>2049.375</v>
      </c>
      <c r="M54">
        <f t="shared" si="1"/>
        <v>2284.75</v>
      </c>
      <c r="N54">
        <f t="shared" si="2"/>
        <v>1814</v>
      </c>
      <c r="Q54">
        <v>385</v>
      </c>
      <c r="R54">
        <f t="shared" si="3"/>
        <v>1664.375</v>
      </c>
    </row>
    <row r="55" spans="1:18" x14ac:dyDescent="0.25">
      <c r="A55" t="s">
        <v>162</v>
      </c>
      <c r="B55">
        <v>2023</v>
      </c>
      <c r="C55">
        <v>2068</v>
      </c>
      <c r="D55">
        <v>2218</v>
      </c>
      <c r="E55">
        <v>2009</v>
      </c>
      <c r="F55">
        <v>1699</v>
      </c>
      <c r="G55">
        <v>2081</v>
      </c>
      <c r="H55">
        <v>5434</v>
      </c>
      <c r="I55">
        <v>2235</v>
      </c>
      <c r="K55">
        <f t="shared" si="0"/>
        <v>2470.875</v>
      </c>
      <c r="M55">
        <f t="shared" si="1"/>
        <v>2079.5</v>
      </c>
      <c r="N55">
        <f t="shared" si="2"/>
        <v>2862.25</v>
      </c>
      <c r="Q55">
        <v>430</v>
      </c>
      <c r="R55">
        <f t="shared" si="3"/>
        <v>2040.875</v>
      </c>
    </row>
    <row r="56" spans="1:18" x14ac:dyDescent="0.25">
      <c r="A56" t="s">
        <v>160</v>
      </c>
      <c r="B56">
        <v>2480</v>
      </c>
      <c r="C56">
        <v>2957</v>
      </c>
      <c r="D56">
        <v>7248</v>
      </c>
      <c r="E56">
        <v>2765</v>
      </c>
      <c r="F56">
        <v>2697</v>
      </c>
      <c r="G56">
        <v>1295</v>
      </c>
      <c r="H56">
        <v>2948</v>
      </c>
      <c r="I56">
        <v>3096</v>
      </c>
      <c r="K56">
        <f t="shared" ref="K56:K61" si="7">AVERAGE(B56:I56)</f>
        <v>3185.75</v>
      </c>
      <c r="M56">
        <f t="shared" ref="M56:M61" si="8">AVERAGE(B56:E56)</f>
        <v>3862.5</v>
      </c>
      <c r="N56">
        <f t="shared" ref="N56:N61" si="9">AVERAGE(F56:I56)</f>
        <v>2509</v>
      </c>
      <c r="Q56">
        <v>552</v>
      </c>
      <c r="R56">
        <f t="shared" ref="R56:R61" si="10">K56-Q56</f>
        <v>2633.75</v>
      </c>
    </row>
    <row r="57" spans="1:18" x14ac:dyDescent="0.25">
      <c r="A57" t="s">
        <v>173</v>
      </c>
      <c r="B57">
        <v>2175</v>
      </c>
      <c r="C57">
        <v>988</v>
      </c>
      <c r="D57">
        <v>1648</v>
      </c>
      <c r="E57">
        <v>3068</v>
      </c>
      <c r="F57">
        <v>2716</v>
      </c>
      <c r="G57">
        <v>1994</v>
      </c>
      <c r="H57">
        <v>1621</v>
      </c>
      <c r="I57">
        <v>1909</v>
      </c>
      <c r="K57">
        <f t="shared" si="7"/>
        <v>2014.875</v>
      </c>
      <c r="M57">
        <f t="shared" si="8"/>
        <v>1969.75</v>
      </c>
      <c r="N57">
        <f t="shared" si="9"/>
        <v>2060</v>
      </c>
      <c r="Q57">
        <v>320</v>
      </c>
      <c r="R57">
        <f t="shared" si="10"/>
        <v>1694.875</v>
      </c>
    </row>
    <row r="58" spans="1:18" x14ac:dyDescent="0.25">
      <c r="A58" t="s">
        <v>174</v>
      </c>
      <c r="B58">
        <v>2419</v>
      </c>
      <c r="C58">
        <v>2408</v>
      </c>
      <c r="D58">
        <v>2402</v>
      </c>
      <c r="E58">
        <v>2770</v>
      </c>
      <c r="F58">
        <v>5705</v>
      </c>
      <c r="G58">
        <v>2584</v>
      </c>
      <c r="H58">
        <v>2561</v>
      </c>
      <c r="I58">
        <v>2188</v>
      </c>
      <c r="K58">
        <f t="shared" si="7"/>
        <v>2879.625</v>
      </c>
      <c r="M58">
        <f t="shared" si="8"/>
        <v>2499.75</v>
      </c>
      <c r="N58">
        <f t="shared" si="9"/>
        <v>3259.5</v>
      </c>
      <c r="Q58">
        <v>422</v>
      </c>
      <c r="R58">
        <f t="shared" si="10"/>
        <v>2457.625</v>
      </c>
    </row>
    <row r="59" spans="1:18" x14ac:dyDescent="0.25">
      <c r="A59" t="s">
        <v>175</v>
      </c>
      <c r="B59">
        <v>3149</v>
      </c>
      <c r="C59">
        <v>2113</v>
      </c>
      <c r="D59">
        <v>2192</v>
      </c>
      <c r="E59">
        <v>1893</v>
      </c>
      <c r="F59">
        <v>1519</v>
      </c>
      <c r="G59">
        <v>2311</v>
      </c>
      <c r="H59">
        <v>1383</v>
      </c>
      <c r="I59">
        <v>2082</v>
      </c>
      <c r="K59">
        <f t="shared" si="7"/>
        <v>2080.25</v>
      </c>
      <c r="M59">
        <f t="shared" si="8"/>
        <v>2336.75</v>
      </c>
      <c r="N59">
        <f t="shared" si="9"/>
        <v>1823.75</v>
      </c>
      <c r="Q59">
        <v>311</v>
      </c>
      <c r="R59">
        <f t="shared" si="10"/>
        <v>1769.25</v>
      </c>
    </row>
    <row r="60" spans="1:18" x14ac:dyDescent="0.25">
      <c r="A60" t="s">
        <v>187</v>
      </c>
      <c r="B60">
        <v>2423</v>
      </c>
      <c r="C60">
        <v>2288</v>
      </c>
      <c r="D60">
        <v>2347</v>
      </c>
      <c r="E60">
        <v>4398</v>
      </c>
      <c r="F60">
        <v>2756</v>
      </c>
      <c r="G60">
        <v>1750</v>
      </c>
      <c r="H60">
        <v>3139</v>
      </c>
      <c r="I60">
        <v>2359</v>
      </c>
      <c r="K60">
        <f t="shared" si="7"/>
        <v>2682.5</v>
      </c>
      <c r="M60">
        <f t="shared" si="8"/>
        <v>2864</v>
      </c>
      <c r="N60">
        <f t="shared" si="9"/>
        <v>2501</v>
      </c>
      <c r="Q60">
        <v>364</v>
      </c>
      <c r="R60">
        <f t="shared" si="10"/>
        <v>2318.5</v>
      </c>
    </row>
    <row r="61" spans="1:18" x14ac:dyDescent="0.25">
      <c r="A61" t="s">
        <v>186</v>
      </c>
      <c r="B61">
        <v>2558</v>
      </c>
      <c r="C61">
        <v>2445</v>
      </c>
      <c r="D61">
        <v>1685</v>
      </c>
      <c r="E61">
        <v>5555</v>
      </c>
      <c r="F61">
        <v>2071</v>
      </c>
      <c r="G61">
        <v>2372</v>
      </c>
      <c r="H61">
        <v>2109</v>
      </c>
      <c r="I61">
        <v>1422</v>
      </c>
      <c r="K61">
        <f t="shared" si="7"/>
        <v>2527.125</v>
      </c>
      <c r="M61">
        <f t="shared" si="8"/>
        <v>3060.75</v>
      </c>
      <c r="N61">
        <f t="shared" si="9"/>
        <v>1993.5</v>
      </c>
      <c r="Q61">
        <v>354</v>
      </c>
      <c r="R61">
        <f t="shared" si="10"/>
        <v>2173.125</v>
      </c>
    </row>
    <row r="63" spans="1:18" x14ac:dyDescent="0.25">
      <c r="J63" s="25"/>
      <c r="K63" s="37"/>
      <c r="L63" s="37"/>
      <c r="M63" s="37"/>
      <c r="N63" s="37"/>
      <c r="O63" s="37"/>
      <c r="P63" s="37"/>
      <c r="Q63" s="37"/>
      <c r="R63" s="37"/>
    </row>
    <row r="65" spans="10:18" x14ac:dyDescent="0.25">
      <c r="J65" s="25"/>
      <c r="K65" s="12"/>
      <c r="L65" s="12"/>
      <c r="M65" s="12"/>
      <c r="N65" s="12"/>
      <c r="O65" s="12"/>
      <c r="P65" s="12"/>
      <c r="Q65" s="12"/>
      <c r="R65" s="12"/>
    </row>
    <row r="66" spans="10:18" x14ac:dyDescent="0.25">
      <c r="J66" s="25"/>
      <c r="K66" s="12"/>
      <c r="L66" s="12"/>
      <c r="M66" s="12"/>
      <c r="N66" s="12"/>
      <c r="O66" s="12"/>
      <c r="P66" s="12"/>
      <c r="Q66" s="12"/>
      <c r="R66" s="12"/>
    </row>
    <row r="67" spans="10:18" x14ac:dyDescent="0.25">
      <c r="K67" s="12"/>
      <c r="L67" s="12"/>
      <c r="M67" s="12"/>
      <c r="N67" s="12"/>
      <c r="O67" s="12"/>
      <c r="P67" s="12"/>
      <c r="Q67" s="12"/>
      <c r="R67" s="12"/>
    </row>
    <row r="68" spans="10:18" x14ac:dyDescent="0.25">
      <c r="J68" s="25"/>
      <c r="K68" s="12"/>
      <c r="L68" s="12"/>
      <c r="M68" s="12"/>
      <c r="N68" s="12"/>
      <c r="O68" s="12"/>
      <c r="P68" s="12"/>
      <c r="Q68" s="12"/>
      <c r="R68" s="12"/>
    </row>
    <row r="69" spans="10:18" x14ac:dyDescent="0.25">
      <c r="J69" s="25"/>
      <c r="K69" s="12"/>
      <c r="L69" s="12"/>
      <c r="M69" s="12"/>
      <c r="N69" s="12"/>
      <c r="O69" s="12"/>
      <c r="P69" s="12"/>
      <c r="Q69" s="12"/>
      <c r="R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R69"/>
  <sheetViews>
    <sheetView zoomScale="55" zoomScaleNormal="55" workbookViewId="0">
      <selection activeCell="U2" sqref="U2:U3"/>
    </sheetView>
  </sheetViews>
  <sheetFormatPr defaultRowHeight="15" x14ac:dyDescent="0.25"/>
  <sheetData>
    <row r="1" spans="1:18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Q1" s="25" t="s">
        <v>245</v>
      </c>
      <c r="R1" s="25" t="s">
        <v>246</v>
      </c>
    </row>
    <row r="2" spans="1:18" x14ac:dyDescent="0.25">
      <c r="A2" t="s">
        <v>3</v>
      </c>
      <c r="B2">
        <v>366</v>
      </c>
      <c r="C2">
        <v>358</v>
      </c>
      <c r="D2">
        <v>358</v>
      </c>
      <c r="E2">
        <v>333</v>
      </c>
      <c r="F2">
        <v>359</v>
      </c>
      <c r="G2">
        <v>312</v>
      </c>
      <c r="H2">
        <v>343</v>
      </c>
      <c r="I2">
        <v>433</v>
      </c>
      <c r="K2">
        <f>AVERAGE(B2:I2)</f>
        <v>357.75</v>
      </c>
      <c r="M2">
        <f>AVERAGE(B2:E2)</f>
        <v>353.75</v>
      </c>
      <c r="N2">
        <f>AVERAGE(F2:I2)</f>
        <v>361.75</v>
      </c>
      <c r="Q2">
        <v>83</v>
      </c>
      <c r="R2">
        <f>K2-Q2</f>
        <v>274.75</v>
      </c>
    </row>
    <row r="3" spans="1:18" x14ac:dyDescent="0.25">
      <c r="A3" t="s">
        <v>13</v>
      </c>
      <c r="B3">
        <v>307</v>
      </c>
      <c r="C3">
        <v>295</v>
      </c>
      <c r="D3">
        <v>364</v>
      </c>
      <c r="E3">
        <v>404</v>
      </c>
      <c r="F3">
        <v>354</v>
      </c>
      <c r="G3">
        <v>388</v>
      </c>
      <c r="H3">
        <v>320</v>
      </c>
      <c r="I3">
        <v>306</v>
      </c>
      <c r="K3">
        <f t="shared" ref="K3:K55" si="0">AVERAGE(B3:I3)</f>
        <v>342.25</v>
      </c>
      <c r="M3">
        <f t="shared" ref="M3:M55" si="1">AVERAGE(B3:E3)</f>
        <v>342.5</v>
      </c>
      <c r="N3">
        <f t="shared" ref="N3:N55" si="2">AVERAGE(F3:I3)</f>
        <v>342</v>
      </c>
      <c r="Q3">
        <v>66</v>
      </c>
      <c r="R3">
        <f t="shared" ref="R3:R55" si="3">K3-Q3</f>
        <v>276.25</v>
      </c>
    </row>
    <row r="4" spans="1:18" x14ac:dyDescent="0.25">
      <c r="A4" t="s">
        <v>68</v>
      </c>
      <c r="B4">
        <v>179</v>
      </c>
      <c r="C4" s="4">
        <v>118</v>
      </c>
      <c r="D4" s="4">
        <v>211</v>
      </c>
      <c r="E4" s="4">
        <v>191</v>
      </c>
      <c r="F4">
        <v>103</v>
      </c>
      <c r="G4">
        <v>171</v>
      </c>
      <c r="H4">
        <v>127</v>
      </c>
      <c r="I4">
        <v>302</v>
      </c>
      <c r="K4">
        <f t="shared" si="0"/>
        <v>175.25</v>
      </c>
      <c r="M4">
        <f t="shared" si="1"/>
        <v>174.75</v>
      </c>
      <c r="N4">
        <f t="shared" si="2"/>
        <v>175.75</v>
      </c>
      <c r="Q4">
        <v>47</v>
      </c>
      <c r="R4">
        <f t="shared" si="3"/>
        <v>128.25</v>
      </c>
    </row>
    <row r="5" spans="1:18" x14ac:dyDescent="0.25">
      <c r="A5" t="s">
        <v>69</v>
      </c>
      <c r="B5">
        <v>167</v>
      </c>
      <c r="C5" s="4">
        <v>224</v>
      </c>
      <c r="D5" s="4">
        <v>129</v>
      </c>
      <c r="E5" s="4">
        <v>235</v>
      </c>
      <c r="F5" s="4">
        <v>209</v>
      </c>
      <c r="G5" s="4">
        <v>121</v>
      </c>
      <c r="H5" s="4">
        <v>144</v>
      </c>
      <c r="I5" s="4">
        <v>152</v>
      </c>
      <c r="K5">
        <f t="shared" si="0"/>
        <v>172.625</v>
      </c>
      <c r="M5">
        <f t="shared" si="1"/>
        <v>188.75</v>
      </c>
      <c r="N5">
        <f t="shared" si="2"/>
        <v>156.5</v>
      </c>
      <c r="Q5">
        <v>61</v>
      </c>
      <c r="R5">
        <f t="shared" si="3"/>
        <v>111.625</v>
      </c>
    </row>
    <row r="6" spans="1:18" x14ac:dyDescent="0.25">
      <c r="A6" t="s">
        <v>70</v>
      </c>
      <c r="B6">
        <v>255</v>
      </c>
      <c r="C6" s="4">
        <v>261</v>
      </c>
      <c r="D6" s="4">
        <v>214</v>
      </c>
      <c r="E6" s="4">
        <v>224</v>
      </c>
      <c r="F6" s="4">
        <v>233</v>
      </c>
      <c r="G6" s="4">
        <v>325</v>
      </c>
      <c r="H6" s="4">
        <v>203</v>
      </c>
      <c r="I6" s="4">
        <v>161</v>
      </c>
      <c r="K6">
        <f t="shared" si="0"/>
        <v>234.5</v>
      </c>
      <c r="M6">
        <f t="shared" si="1"/>
        <v>238.5</v>
      </c>
      <c r="N6">
        <f t="shared" si="2"/>
        <v>230.5</v>
      </c>
      <c r="Q6">
        <v>51</v>
      </c>
      <c r="R6">
        <f t="shared" si="3"/>
        <v>183.5</v>
      </c>
    </row>
    <row r="7" spans="1:18" x14ac:dyDescent="0.25">
      <c r="A7" t="s">
        <v>74</v>
      </c>
      <c r="B7">
        <v>232</v>
      </c>
      <c r="C7">
        <v>226</v>
      </c>
      <c r="D7">
        <v>228</v>
      </c>
      <c r="E7">
        <v>227</v>
      </c>
      <c r="F7">
        <v>292</v>
      </c>
      <c r="G7">
        <v>167</v>
      </c>
      <c r="H7">
        <v>191</v>
      </c>
      <c r="I7">
        <v>173</v>
      </c>
      <c r="K7">
        <f t="shared" si="0"/>
        <v>217</v>
      </c>
      <c r="M7">
        <f t="shared" si="1"/>
        <v>228.25</v>
      </c>
      <c r="N7">
        <f t="shared" si="2"/>
        <v>205.75</v>
      </c>
      <c r="Q7">
        <v>55</v>
      </c>
      <c r="R7">
        <f t="shared" si="3"/>
        <v>162</v>
      </c>
    </row>
    <row r="8" spans="1:18" x14ac:dyDescent="0.25">
      <c r="A8" t="s">
        <v>79</v>
      </c>
      <c r="B8">
        <v>125</v>
      </c>
      <c r="C8">
        <v>136</v>
      </c>
      <c r="D8">
        <v>208</v>
      </c>
      <c r="E8">
        <v>235</v>
      </c>
      <c r="F8">
        <v>346</v>
      </c>
      <c r="G8">
        <v>181</v>
      </c>
      <c r="H8">
        <v>180</v>
      </c>
      <c r="I8">
        <v>222</v>
      </c>
      <c r="K8">
        <f t="shared" si="0"/>
        <v>204.125</v>
      </c>
      <c r="M8">
        <f t="shared" si="1"/>
        <v>176</v>
      </c>
      <c r="N8">
        <f t="shared" si="2"/>
        <v>232.25</v>
      </c>
      <c r="Q8">
        <v>58</v>
      </c>
      <c r="R8">
        <f t="shared" si="3"/>
        <v>146.125</v>
      </c>
    </row>
    <row r="9" spans="1:18" x14ac:dyDescent="0.25">
      <c r="A9" t="s">
        <v>80</v>
      </c>
      <c r="B9">
        <v>353</v>
      </c>
      <c r="C9">
        <v>585</v>
      </c>
      <c r="D9">
        <v>549</v>
      </c>
      <c r="E9">
        <v>361</v>
      </c>
      <c r="F9">
        <v>344</v>
      </c>
      <c r="G9">
        <v>375</v>
      </c>
      <c r="H9">
        <v>341</v>
      </c>
      <c r="I9">
        <v>351</v>
      </c>
      <c r="K9">
        <f t="shared" si="0"/>
        <v>407.375</v>
      </c>
      <c r="M9">
        <f t="shared" si="1"/>
        <v>462</v>
      </c>
      <c r="N9">
        <f t="shared" si="2"/>
        <v>352.75</v>
      </c>
      <c r="Q9">
        <v>76</v>
      </c>
      <c r="R9">
        <f t="shared" si="3"/>
        <v>331.375</v>
      </c>
    </row>
    <row r="10" spans="1:18" x14ac:dyDescent="0.25">
      <c r="A10" t="s">
        <v>86</v>
      </c>
      <c r="B10">
        <v>231</v>
      </c>
      <c r="C10">
        <v>184</v>
      </c>
      <c r="D10">
        <v>281</v>
      </c>
      <c r="E10">
        <v>222</v>
      </c>
      <c r="F10">
        <v>204</v>
      </c>
      <c r="G10">
        <v>251</v>
      </c>
      <c r="H10">
        <v>169</v>
      </c>
      <c r="I10">
        <v>143</v>
      </c>
      <c r="K10">
        <f t="shared" si="0"/>
        <v>210.625</v>
      </c>
      <c r="M10">
        <f t="shared" si="1"/>
        <v>229.5</v>
      </c>
      <c r="N10">
        <f t="shared" si="2"/>
        <v>191.75</v>
      </c>
      <c r="Q10">
        <v>52</v>
      </c>
      <c r="R10">
        <f t="shared" si="3"/>
        <v>158.625</v>
      </c>
    </row>
    <row r="11" spans="1:18" x14ac:dyDescent="0.25">
      <c r="A11" t="s">
        <v>92</v>
      </c>
      <c r="B11">
        <v>197</v>
      </c>
      <c r="C11">
        <v>168</v>
      </c>
      <c r="D11">
        <v>126</v>
      </c>
      <c r="E11">
        <v>161</v>
      </c>
      <c r="F11">
        <v>248</v>
      </c>
      <c r="G11">
        <v>187</v>
      </c>
      <c r="H11">
        <v>209</v>
      </c>
      <c r="I11">
        <v>154</v>
      </c>
      <c r="K11">
        <f t="shared" si="0"/>
        <v>181.25</v>
      </c>
      <c r="M11">
        <f t="shared" si="1"/>
        <v>163</v>
      </c>
      <c r="N11">
        <f t="shared" si="2"/>
        <v>199.5</v>
      </c>
      <c r="Q11">
        <v>49</v>
      </c>
      <c r="R11">
        <f t="shared" si="3"/>
        <v>132.25</v>
      </c>
    </row>
    <row r="12" spans="1:18" x14ac:dyDescent="0.25">
      <c r="A12" t="s">
        <v>93</v>
      </c>
      <c r="B12">
        <v>273</v>
      </c>
      <c r="C12">
        <v>216</v>
      </c>
      <c r="D12">
        <v>208</v>
      </c>
      <c r="E12">
        <v>149</v>
      </c>
      <c r="F12">
        <v>188</v>
      </c>
      <c r="G12">
        <v>241</v>
      </c>
      <c r="H12">
        <v>179</v>
      </c>
      <c r="I12">
        <v>200</v>
      </c>
      <c r="K12">
        <f t="shared" si="0"/>
        <v>206.75</v>
      </c>
      <c r="M12">
        <f t="shared" si="1"/>
        <v>211.5</v>
      </c>
      <c r="N12">
        <f t="shared" si="2"/>
        <v>202</v>
      </c>
      <c r="Q12">
        <v>62</v>
      </c>
      <c r="R12">
        <f t="shared" si="3"/>
        <v>144.75</v>
      </c>
    </row>
    <row r="13" spans="1:18" x14ac:dyDescent="0.25">
      <c r="A13" t="s">
        <v>110</v>
      </c>
      <c r="B13">
        <v>261</v>
      </c>
      <c r="C13">
        <v>229</v>
      </c>
      <c r="D13">
        <v>324</v>
      </c>
      <c r="E13">
        <v>353</v>
      </c>
      <c r="F13">
        <v>276</v>
      </c>
      <c r="G13">
        <v>280</v>
      </c>
      <c r="H13">
        <v>262</v>
      </c>
      <c r="I13">
        <v>390</v>
      </c>
      <c r="K13">
        <f t="shared" si="0"/>
        <v>296.875</v>
      </c>
      <c r="M13">
        <f t="shared" si="1"/>
        <v>291.75</v>
      </c>
      <c r="N13">
        <f t="shared" si="2"/>
        <v>302</v>
      </c>
      <c r="Q13">
        <v>76</v>
      </c>
      <c r="R13">
        <f t="shared" si="3"/>
        <v>220.875</v>
      </c>
    </row>
    <row r="14" spans="1:18" x14ac:dyDescent="0.25">
      <c r="A14" t="s">
        <v>120</v>
      </c>
      <c r="B14">
        <v>328</v>
      </c>
      <c r="C14">
        <v>173</v>
      </c>
      <c r="D14">
        <v>197</v>
      </c>
      <c r="E14">
        <v>216</v>
      </c>
      <c r="F14">
        <v>319</v>
      </c>
      <c r="G14">
        <v>159</v>
      </c>
      <c r="H14">
        <v>121</v>
      </c>
      <c r="I14">
        <v>233</v>
      </c>
      <c r="K14">
        <f t="shared" si="0"/>
        <v>218.25</v>
      </c>
      <c r="M14">
        <f t="shared" si="1"/>
        <v>228.5</v>
      </c>
      <c r="N14">
        <f t="shared" si="2"/>
        <v>208</v>
      </c>
      <c r="Q14">
        <v>46</v>
      </c>
      <c r="R14">
        <f t="shared" si="3"/>
        <v>172.25</v>
      </c>
    </row>
    <row r="15" spans="1:18" x14ac:dyDescent="0.25">
      <c r="A15" t="s">
        <v>125</v>
      </c>
      <c r="B15">
        <v>147</v>
      </c>
      <c r="C15">
        <v>231</v>
      </c>
      <c r="D15">
        <v>292</v>
      </c>
      <c r="E15">
        <v>267</v>
      </c>
      <c r="F15">
        <v>102</v>
      </c>
      <c r="G15">
        <v>227</v>
      </c>
      <c r="H15">
        <v>172</v>
      </c>
      <c r="I15">
        <v>175</v>
      </c>
      <c r="K15">
        <f t="shared" si="0"/>
        <v>201.625</v>
      </c>
      <c r="M15">
        <f t="shared" si="1"/>
        <v>234.25</v>
      </c>
      <c r="N15">
        <f t="shared" si="2"/>
        <v>169</v>
      </c>
      <c r="Q15">
        <v>52</v>
      </c>
      <c r="R15">
        <f t="shared" si="3"/>
        <v>149.625</v>
      </c>
    </row>
    <row r="16" spans="1:18" x14ac:dyDescent="0.25">
      <c r="A16" t="s">
        <v>130</v>
      </c>
      <c r="B16">
        <v>249</v>
      </c>
      <c r="C16">
        <v>273</v>
      </c>
      <c r="D16">
        <v>290</v>
      </c>
      <c r="E16">
        <v>239</v>
      </c>
      <c r="F16">
        <v>239</v>
      </c>
      <c r="G16">
        <v>275</v>
      </c>
      <c r="H16">
        <v>362</v>
      </c>
      <c r="I16">
        <v>262</v>
      </c>
      <c r="K16">
        <f t="shared" si="0"/>
        <v>273.625</v>
      </c>
      <c r="M16">
        <f t="shared" si="1"/>
        <v>262.75</v>
      </c>
      <c r="N16">
        <f t="shared" si="2"/>
        <v>284.5</v>
      </c>
      <c r="Q16">
        <v>55</v>
      </c>
      <c r="R16">
        <f t="shared" si="3"/>
        <v>218.625</v>
      </c>
    </row>
    <row r="17" spans="1:18" x14ac:dyDescent="0.25">
      <c r="A17" t="s">
        <v>145</v>
      </c>
      <c r="B17">
        <v>196</v>
      </c>
      <c r="C17">
        <v>274</v>
      </c>
      <c r="D17">
        <v>403</v>
      </c>
      <c r="E17">
        <v>284</v>
      </c>
      <c r="F17">
        <v>207</v>
      </c>
      <c r="G17">
        <v>354</v>
      </c>
      <c r="H17">
        <v>191</v>
      </c>
      <c r="I17">
        <v>259</v>
      </c>
      <c r="K17">
        <f t="shared" si="0"/>
        <v>271</v>
      </c>
      <c r="M17">
        <f t="shared" si="1"/>
        <v>289.25</v>
      </c>
      <c r="N17">
        <f t="shared" si="2"/>
        <v>252.75</v>
      </c>
      <c r="Q17">
        <v>50</v>
      </c>
      <c r="R17">
        <f t="shared" si="3"/>
        <v>221</v>
      </c>
    </row>
    <row r="18" spans="1:18" x14ac:dyDescent="0.25">
      <c r="A18" t="s">
        <v>144</v>
      </c>
      <c r="B18">
        <v>430</v>
      </c>
      <c r="C18">
        <v>591</v>
      </c>
      <c r="D18">
        <v>505</v>
      </c>
      <c r="E18">
        <v>163</v>
      </c>
      <c r="F18">
        <v>345</v>
      </c>
      <c r="G18">
        <v>549</v>
      </c>
      <c r="H18">
        <v>380</v>
      </c>
      <c r="I18">
        <v>458</v>
      </c>
      <c r="K18">
        <f t="shared" si="0"/>
        <v>427.625</v>
      </c>
      <c r="M18">
        <f t="shared" si="1"/>
        <v>422.25</v>
      </c>
      <c r="N18">
        <f t="shared" si="2"/>
        <v>433</v>
      </c>
      <c r="Q18">
        <v>51</v>
      </c>
      <c r="R18">
        <f t="shared" si="3"/>
        <v>376.625</v>
      </c>
    </row>
    <row r="19" spans="1:18" x14ac:dyDescent="0.25">
      <c r="A19" t="s">
        <v>132</v>
      </c>
      <c r="B19">
        <v>201</v>
      </c>
      <c r="C19">
        <v>212</v>
      </c>
      <c r="D19">
        <v>308</v>
      </c>
      <c r="E19">
        <v>229</v>
      </c>
      <c r="F19">
        <v>186</v>
      </c>
      <c r="G19">
        <v>236</v>
      </c>
      <c r="H19">
        <v>225</v>
      </c>
      <c r="I19">
        <v>160</v>
      </c>
      <c r="K19">
        <f t="shared" si="0"/>
        <v>219.625</v>
      </c>
      <c r="M19">
        <f t="shared" si="1"/>
        <v>237.5</v>
      </c>
      <c r="N19">
        <f t="shared" si="2"/>
        <v>201.75</v>
      </c>
      <c r="Q19">
        <v>51</v>
      </c>
      <c r="R19">
        <f t="shared" si="3"/>
        <v>168.625</v>
      </c>
    </row>
    <row r="20" spans="1:18" x14ac:dyDescent="0.25">
      <c r="A20" t="s">
        <v>146</v>
      </c>
      <c r="B20">
        <v>252</v>
      </c>
      <c r="C20">
        <v>271</v>
      </c>
      <c r="D20">
        <v>401</v>
      </c>
      <c r="E20">
        <v>293</v>
      </c>
      <c r="F20">
        <v>235</v>
      </c>
      <c r="G20">
        <v>329</v>
      </c>
      <c r="H20">
        <v>464</v>
      </c>
      <c r="I20">
        <v>235</v>
      </c>
      <c r="K20">
        <f t="shared" si="0"/>
        <v>310</v>
      </c>
      <c r="M20">
        <f t="shared" si="1"/>
        <v>304.25</v>
      </c>
      <c r="N20">
        <f t="shared" si="2"/>
        <v>315.75</v>
      </c>
      <c r="Q20">
        <v>66</v>
      </c>
      <c r="R20">
        <f t="shared" si="3"/>
        <v>244</v>
      </c>
    </row>
    <row r="21" spans="1:18" x14ac:dyDescent="0.25">
      <c r="A21" t="s">
        <v>147</v>
      </c>
      <c r="B21">
        <v>160</v>
      </c>
      <c r="C21">
        <v>241</v>
      </c>
      <c r="D21">
        <v>304</v>
      </c>
      <c r="E21">
        <v>181</v>
      </c>
      <c r="F21">
        <v>239</v>
      </c>
      <c r="G21">
        <v>247</v>
      </c>
      <c r="H21">
        <v>250</v>
      </c>
      <c r="I21">
        <v>180</v>
      </c>
      <c r="K21">
        <f t="shared" si="0"/>
        <v>225.25</v>
      </c>
      <c r="M21">
        <f t="shared" si="1"/>
        <v>221.5</v>
      </c>
      <c r="N21">
        <f t="shared" si="2"/>
        <v>229</v>
      </c>
      <c r="Q21">
        <v>53</v>
      </c>
      <c r="R21">
        <f t="shared" si="3"/>
        <v>172.25</v>
      </c>
    </row>
    <row r="22" spans="1:18" x14ac:dyDescent="0.25">
      <c r="A22" t="s">
        <v>155</v>
      </c>
      <c r="B22">
        <v>268</v>
      </c>
      <c r="C22">
        <v>173</v>
      </c>
      <c r="D22">
        <v>101</v>
      </c>
      <c r="E22">
        <v>193</v>
      </c>
      <c r="F22">
        <v>188</v>
      </c>
      <c r="G22">
        <v>211</v>
      </c>
      <c r="H22">
        <v>284</v>
      </c>
      <c r="I22">
        <v>192</v>
      </c>
      <c r="K22">
        <f t="shared" si="0"/>
        <v>201.25</v>
      </c>
      <c r="M22">
        <f t="shared" si="1"/>
        <v>183.75</v>
      </c>
      <c r="N22">
        <f t="shared" si="2"/>
        <v>218.75</v>
      </c>
      <c r="Q22">
        <v>50</v>
      </c>
      <c r="R22">
        <f t="shared" si="3"/>
        <v>151.25</v>
      </c>
    </row>
    <row r="23" spans="1:18" x14ac:dyDescent="0.25">
      <c r="A23" t="s">
        <v>158</v>
      </c>
      <c r="B23">
        <v>106</v>
      </c>
      <c r="C23">
        <v>109</v>
      </c>
      <c r="D23">
        <v>67</v>
      </c>
      <c r="E23">
        <v>156</v>
      </c>
      <c r="F23">
        <v>134</v>
      </c>
      <c r="G23">
        <v>238</v>
      </c>
      <c r="H23">
        <v>181</v>
      </c>
      <c r="I23">
        <v>163</v>
      </c>
      <c r="K23">
        <f t="shared" si="0"/>
        <v>144.25</v>
      </c>
      <c r="M23">
        <f t="shared" si="1"/>
        <v>109.5</v>
      </c>
      <c r="N23">
        <f t="shared" si="2"/>
        <v>179</v>
      </c>
      <c r="Q23">
        <v>54</v>
      </c>
      <c r="R23">
        <f t="shared" si="3"/>
        <v>90.25</v>
      </c>
    </row>
    <row r="24" spans="1:18" x14ac:dyDescent="0.25">
      <c r="A24" t="s">
        <v>162</v>
      </c>
      <c r="B24">
        <v>303</v>
      </c>
      <c r="C24">
        <v>176</v>
      </c>
      <c r="D24">
        <v>256</v>
      </c>
      <c r="E24">
        <v>320</v>
      </c>
      <c r="F24">
        <v>316</v>
      </c>
      <c r="G24">
        <v>207</v>
      </c>
      <c r="H24">
        <v>134</v>
      </c>
      <c r="I24">
        <v>209</v>
      </c>
      <c r="K24">
        <f>AVERAGE(B24:I24)</f>
        <v>240.125</v>
      </c>
      <c r="M24">
        <f>AVERAGE(C24:F24)</f>
        <v>267</v>
      </c>
      <c r="N24">
        <f>AVERAGE(G24:I24)</f>
        <v>183.33333333333334</v>
      </c>
      <c r="Q24">
        <v>64</v>
      </c>
      <c r="R24">
        <f t="shared" si="3"/>
        <v>176.125</v>
      </c>
    </row>
    <row r="25" spans="1:18" x14ac:dyDescent="0.25">
      <c r="A25" t="s">
        <v>160</v>
      </c>
      <c r="B25">
        <v>238</v>
      </c>
      <c r="C25">
        <v>269</v>
      </c>
      <c r="D25">
        <v>320</v>
      </c>
      <c r="E25">
        <v>316</v>
      </c>
      <c r="F25">
        <v>475</v>
      </c>
      <c r="G25">
        <v>381</v>
      </c>
      <c r="H25">
        <v>295</v>
      </c>
      <c r="I25">
        <v>328</v>
      </c>
      <c r="K25">
        <f t="shared" ref="K25:K30" si="4">AVERAGE(B25:I25)</f>
        <v>327.75</v>
      </c>
      <c r="M25">
        <f t="shared" ref="M25:M30" si="5">AVERAGE(B25:E25)</f>
        <v>285.75</v>
      </c>
      <c r="N25">
        <f t="shared" ref="N25:N30" si="6">AVERAGE(F25:I25)</f>
        <v>369.75</v>
      </c>
      <c r="Q25">
        <v>81</v>
      </c>
      <c r="R25">
        <f t="shared" si="3"/>
        <v>246.75</v>
      </c>
    </row>
    <row r="26" spans="1:18" x14ac:dyDescent="0.25">
      <c r="A26" t="s">
        <v>173</v>
      </c>
      <c r="B26">
        <v>280</v>
      </c>
      <c r="C26">
        <v>241</v>
      </c>
      <c r="D26">
        <v>239</v>
      </c>
      <c r="E26">
        <v>237</v>
      </c>
      <c r="F26">
        <v>798</v>
      </c>
      <c r="G26">
        <v>274</v>
      </c>
      <c r="H26">
        <v>260</v>
      </c>
      <c r="I26">
        <v>317</v>
      </c>
      <c r="K26">
        <f t="shared" si="4"/>
        <v>330.75</v>
      </c>
      <c r="M26">
        <f t="shared" si="5"/>
        <v>249.25</v>
      </c>
      <c r="N26">
        <f t="shared" si="6"/>
        <v>412.25</v>
      </c>
      <c r="Q26">
        <v>50</v>
      </c>
      <c r="R26">
        <f>K26-Q26</f>
        <v>280.75</v>
      </c>
    </row>
    <row r="27" spans="1:18" x14ac:dyDescent="0.25">
      <c r="A27" t="s">
        <v>174</v>
      </c>
      <c r="B27">
        <v>249</v>
      </c>
      <c r="C27">
        <v>367</v>
      </c>
      <c r="D27">
        <v>226</v>
      </c>
      <c r="E27">
        <v>315</v>
      </c>
      <c r="F27">
        <v>517</v>
      </c>
      <c r="G27">
        <v>401</v>
      </c>
      <c r="H27">
        <v>280</v>
      </c>
      <c r="I27">
        <v>341</v>
      </c>
      <c r="K27">
        <f t="shared" si="4"/>
        <v>337</v>
      </c>
      <c r="M27">
        <f t="shared" si="5"/>
        <v>289.25</v>
      </c>
      <c r="N27">
        <f t="shared" si="6"/>
        <v>384.75</v>
      </c>
      <c r="Q27">
        <v>63</v>
      </c>
      <c r="R27">
        <f t="shared" si="3"/>
        <v>274</v>
      </c>
    </row>
    <row r="28" spans="1:18" x14ac:dyDescent="0.25">
      <c r="A28" t="s">
        <v>175</v>
      </c>
      <c r="B28">
        <v>174</v>
      </c>
      <c r="C28">
        <v>268</v>
      </c>
      <c r="D28">
        <v>223</v>
      </c>
      <c r="E28">
        <v>172</v>
      </c>
      <c r="F28">
        <v>194</v>
      </c>
      <c r="G28">
        <v>254</v>
      </c>
      <c r="H28">
        <v>214</v>
      </c>
      <c r="I28">
        <v>292</v>
      </c>
      <c r="K28">
        <f t="shared" si="4"/>
        <v>223.875</v>
      </c>
      <c r="M28">
        <f t="shared" si="5"/>
        <v>209.25</v>
      </c>
      <c r="N28">
        <f t="shared" si="6"/>
        <v>238.5</v>
      </c>
      <c r="Q28">
        <v>47</v>
      </c>
      <c r="R28">
        <f t="shared" si="3"/>
        <v>176.875</v>
      </c>
    </row>
    <row r="29" spans="1:18" x14ac:dyDescent="0.25">
      <c r="A29" t="s">
        <v>187</v>
      </c>
      <c r="B29">
        <v>303</v>
      </c>
      <c r="C29">
        <v>308</v>
      </c>
      <c r="D29">
        <v>241</v>
      </c>
      <c r="E29">
        <v>197</v>
      </c>
      <c r="F29">
        <v>302</v>
      </c>
      <c r="G29">
        <v>309</v>
      </c>
      <c r="H29">
        <v>217</v>
      </c>
      <c r="I29">
        <v>277</v>
      </c>
      <c r="K29">
        <f t="shared" si="4"/>
        <v>269.25</v>
      </c>
      <c r="M29">
        <f t="shared" si="5"/>
        <v>262.25</v>
      </c>
      <c r="N29">
        <f t="shared" si="6"/>
        <v>276.25</v>
      </c>
      <c r="Q29">
        <v>53</v>
      </c>
      <c r="R29">
        <f t="shared" si="3"/>
        <v>216.25</v>
      </c>
    </row>
    <row r="30" spans="1:18" x14ac:dyDescent="0.25">
      <c r="A30" t="s">
        <v>186</v>
      </c>
      <c r="B30">
        <v>216</v>
      </c>
      <c r="C30">
        <v>194</v>
      </c>
      <c r="D30">
        <v>299</v>
      </c>
      <c r="E30">
        <v>231</v>
      </c>
      <c r="F30">
        <v>157</v>
      </c>
      <c r="G30">
        <v>152</v>
      </c>
      <c r="H30">
        <v>120</v>
      </c>
      <c r="I30">
        <v>222</v>
      </c>
      <c r="K30">
        <f t="shared" si="4"/>
        <v>198.875</v>
      </c>
      <c r="M30">
        <f t="shared" si="5"/>
        <v>235</v>
      </c>
      <c r="N30">
        <f t="shared" si="6"/>
        <v>162.75</v>
      </c>
      <c r="Q30">
        <v>54</v>
      </c>
      <c r="R30">
        <f t="shared" si="3"/>
        <v>144.875</v>
      </c>
    </row>
    <row r="32" spans="1:18" s="25" customFormat="1" x14ac:dyDescent="0.25">
      <c r="A32" s="25" t="s">
        <v>1</v>
      </c>
    </row>
    <row r="33" spans="1:18" x14ac:dyDescent="0.25">
      <c r="A33" t="s">
        <v>3</v>
      </c>
      <c r="B33">
        <v>362</v>
      </c>
      <c r="C33">
        <v>365</v>
      </c>
      <c r="D33">
        <v>461</v>
      </c>
      <c r="E33">
        <v>288</v>
      </c>
      <c r="F33">
        <v>393</v>
      </c>
      <c r="G33">
        <v>372</v>
      </c>
      <c r="H33">
        <v>484</v>
      </c>
      <c r="I33">
        <v>379</v>
      </c>
      <c r="K33">
        <f t="shared" ref="K33" si="7">AVERAGE(B33:I33)</f>
        <v>388</v>
      </c>
      <c r="M33">
        <f t="shared" ref="M33" si="8">AVERAGE(B33:E33)</f>
        <v>369</v>
      </c>
      <c r="N33">
        <f t="shared" ref="N33" si="9">AVERAGE(F33:I33)</f>
        <v>407</v>
      </c>
      <c r="Q33">
        <v>91</v>
      </c>
      <c r="R33">
        <f t="shared" si="3"/>
        <v>297</v>
      </c>
    </row>
    <row r="34" spans="1:18" x14ac:dyDescent="0.25">
      <c r="A34" t="s">
        <v>13</v>
      </c>
      <c r="B34">
        <v>353</v>
      </c>
      <c r="C34">
        <v>350</v>
      </c>
      <c r="D34">
        <v>294</v>
      </c>
      <c r="E34">
        <v>343</v>
      </c>
      <c r="F34">
        <v>264</v>
      </c>
      <c r="G34">
        <v>370</v>
      </c>
      <c r="H34">
        <v>308</v>
      </c>
      <c r="I34">
        <v>329</v>
      </c>
      <c r="K34">
        <f t="shared" si="0"/>
        <v>326.375</v>
      </c>
      <c r="M34">
        <f t="shared" si="1"/>
        <v>335</v>
      </c>
      <c r="N34">
        <f t="shared" si="2"/>
        <v>317.75</v>
      </c>
      <c r="Q34">
        <v>66</v>
      </c>
      <c r="R34">
        <f t="shared" si="3"/>
        <v>260.375</v>
      </c>
    </row>
    <row r="35" spans="1:18" x14ac:dyDescent="0.25">
      <c r="A35" t="s">
        <v>68</v>
      </c>
      <c r="B35">
        <v>219</v>
      </c>
      <c r="C35">
        <v>367</v>
      </c>
      <c r="D35">
        <v>151</v>
      </c>
      <c r="E35">
        <v>392</v>
      </c>
      <c r="F35">
        <v>410</v>
      </c>
      <c r="G35">
        <v>428</v>
      </c>
      <c r="H35">
        <v>212</v>
      </c>
      <c r="I35">
        <v>528</v>
      </c>
      <c r="K35">
        <f>AVERAGE(B35:I35)</f>
        <v>338.375</v>
      </c>
      <c r="M35">
        <f>AVERAGE(B35:D35)</f>
        <v>245.66666666666666</v>
      </c>
      <c r="N35">
        <f t="shared" si="2"/>
        <v>394.5</v>
      </c>
      <c r="Q35">
        <v>57</v>
      </c>
      <c r="R35">
        <f t="shared" si="3"/>
        <v>281.375</v>
      </c>
    </row>
    <row r="36" spans="1:18" x14ac:dyDescent="0.25">
      <c r="A36" t="s">
        <v>69</v>
      </c>
      <c r="B36">
        <v>298</v>
      </c>
      <c r="C36">
        <v>312</v>
      </c>
      <c r="D36">
        <v>196</v>
      </c>
      <c r="E36">
        <v>193</v>
      </c>
      <c r="F36">
        <v>405</v>
      </c>
      <c r="G36">
        <v>167</v>
      </c>
      <c r="H36">
        <v>252</v>
      </c>
      <c r="I36">
        <v>188</v>
      </c>
      <c r="K36">
        <f t="shared" si="0"/>
        <v>251.375</v>
      </c>
      <c r="M36">
        <f t="shared" si="1"/>
        <v>249.75</v>
      </c>
      <c r="N36">
        <f t="shared" si="2"/>
        <v>253</v>
      </c>
      <c r="Q36">
        <v>73</v>
      </c>
      <c r="R36">
        <f t="shared" si="3"/>
        <v>178.375</v>
      </c>
    </row>
    <row r="37" spans="1:18" x14ac:dyDescent="0.25">
      <c r="A37" t="s">
        <v>70</v>
      </c>
      <c r="B37">
        <v>157</v>
      </c>
      <c r="C37">
        <v>309</v>
      </c>
      <c r="D37">
        <v>208</v>
      </c>
      <c r="E37">
        <v>236</v>
      </c>
      <c r="F37">
        <v>155</v>
      </c>
      <c r="G37">
        <v>151</v>
      </c>
      <c r="H37">
        <v>136</v>
      </c>
      <c r="I37">
        <v>311</v>
      </c>
      <c r="K37">
        <f t="shared" si="0"/>
        <v>207.875</v>
      </c>
      <c r="M37">
        <f t="shared" si="1"/>
        <v>227.5</v>
      </c>
      <c r="N37">
        <f t="shared" si="2"/>
        <v>188.25</v>
      </c>
      <c r="Q37">
        <v>59</v>
      </c>
      <c r="R37">
        <f t="shared" si="3"/>
        <v>148.875</v>
      </c>
    </row>
    <row r="38" spans="1:18" x14ac:dyDescent="0.25">
      <c r="A38" t="s">
        <v>74</v>
      </c>
      <c r="B38">
        <v>309</v>
      </c>
      <c r="C38">
        <v>316</v>
      </c>
      <c r="D38">
        <v>165</v>
      </c>
      <c r="E38">
        <v>382</v>
      </c>
      <c r="F38">
        <v>204</v>
      </c>
      <c r="G38">
        <v>260</v>
      </c>
      <c r="H38">
        <v>301</v>
      </c>
      <c r="I38">
        <v>237</v>
      </c>
      <c r="K38">
        <f t="shared" si="0"/>
        <v>271.75</v>
      </c>
      <c r="M38">
        <f t="shared" si="1"/>
        <v>293</v>
      </c>
      <c r="N38">
        <f t="shared" si="2"/>
        <v>250.5</v>
      </c>
      <c r="Q38">
        <v>64</v>
      </c>
      <c r="R38">
        <f t="shared" si="3"/>
        <v>207.75</v>
      </c>
    </row>
    <row r="39" spans="1:18" x14ac:dyDescent="0.25">
      <c r="A39" t="s">
        <v>79</v>
      </c>
      <c r="B39">
        <v>301</v>
      </c>
      <c r="C39">
        <v>252</v>
      </c>
      <c r="D39">
        <v>237</v>
      </c>
      <c r="E39">
        <v>208</v>
      </c>
      <c r="F39">
        <v>265</v>
      </c>
      <c r="G39">
        <v>259</v>
      </c>
      <c r="H39">
        <v>165</v>
      </c>
      <c r="I39">
        <v>292</v>
      </c>
      <c r="K39">
        <f t="shared" si="0"/>
        <v>247.375</v>
      </c>
      <c r="M39">
        <f t="shared" si="1"/>
        <v>249.5</v>
      </c>
      <c r="N39">
        <f t="shared" si="2"/>
        <v>245.25</v>
      </c>
      <c r="Q39">
        <v>68</v>
      </c>
      <c r="R39">
        <f t="shared" si="3"/>
        <v>179.375</v>
      </c>
    </row>
    <row r="40" spans="1:18" x14ac:dyDescent="0.25">
      <c r="A40" t="s">
        <v>80</v>
      </c>
      <c r="B40">
        <v>678</v>
      </c>
      <c r="C40">
        <v>456</v>
      </c>
      <c r="D40">
        <v>503</v>
      </c>
      <c r="E40">
        <v>705</v>
      </c>
      <c r="F40">
        <v>404</v>
      </c>
      <c r="G40">
        <v>459</v>
      </c>
      <c r="H40">
        <v>552</v>
      </c>
      <c r="I40">
        <v>501</v>
      </c>
      <c r="K40">
        <f t="shared" si="0"/>
        <v>532.25</v>
      </c>
      <c r="M40">
        <f t="shared" si="1"/>
        <v>585.5</v>
      </c>
      <c r="N40">
        <f t="shared" si="2"/>
        <v>479</v>
      </c>
      <c r="Q40">
        <v>86</v>
      </c>
      <c r="R40">
        <f t="shared" si="3"/>
        <v>446.25</v>
      </c>
    </row>
    <row r="41" spans="1:18" x14ac:dyDescent="0.25">
      <c r="A41" t="s">
        <v>86</v>
      </c>
      <c r="B41">
        <v>232</v>
      </c>
      <c r="C41">
        <v>183</v>
      </c>
      <c r="D41">
        <v>126</v>
      </c>
      <c r="E41">
        <v>177</v>
      </c>
      <c r="F41">
        <v>233</v>
      </c>
      <c r="G41">
        <v>261</v>
      </c>
      <c r="H41">
        <v>224</v>
      </c>
      <c r="I41">
        <v>317</v>
      </c>
      <c r="K41">
        <f t="shared" si="0"/>
        <v>219.125</v>
      </c>
      <c r="M41">
        <f t="shared" si="1"/>
        <v>179.5</v>
      </c>
      <c r="N41">
        <f t="shared" si="2"/>
        <v>258.75</v>
      </c>
      <c r="Q41">
        <v>60</v>
      </c>
      <c r="R41">
        <f t="shared" si="3"/>
        <v>159.125</v>
      </c>
    </row>
    <row r="42" spans="1:18" x14ac:dyDescent="0.25">
      <c r="A42" t="s">
        <v>92</v>
      </c>
      <c r="B42">
        <v>128</v>
      </c>
      <c r="C42">
        <v>205</v>
      </c>
      <c r="D42">
        <v>204</v>
      </c>
      <c r="E42">
        <v>238</v>
      </c>
      <c r="F42">
        <v>177</v>
      </c>
      <c r="G42">
        <v>212</v>
      </c>
      <c r="H42">
        <v>200</v>
      </c>
      <c r="I42">
        <v>152</v>
      </c>
      <c r="K42">
        <f t="shared" si="0"/>
        <v>189.5</v>
      </c>
      <c r="M42">
        <f t="shared" si="1"/>
        <v>193.75</v>
      </c>
      <c r="N42">
        <f t="shared" si="2"/>
        <v>185.25</v>
      </c>
      <c r="Q42">
        <v>56</v>
      </c>
      <c r="R42">
        <f t="shared" si="3"/>
        <v>133.5</v>
      </c>
    </row>
    <row r="43" spans="1:18" x14ac:dyDescent="0.25">
      <c r="A43" t="s">
        <v>93</v>
      </c>
      <c r="B43">
        <v>245</v>
      </c>
      <c r="C43">
        <v>295</v>
      </c>
      <c r="D43">
        <v>164</v>
      </c>
      <c r="E43">
        <v>291</v>
      </c>
      <c r="F43">
        <v>200</v>
      </c>
      <c r="G43">
        <v>187</v>
      </c>
      <c r="H43">
        <v>232</v>
      </c>
      <c r="I43">
        <v>246</v>
      </c>
      <c r="K43">
        <f t="shared" si="0"/>
        <v>232.5</v>
      </c>
      <c r="M43">
        <f t="shared" si="1"/>
        <v>248.75</v>
      </c>
      <c r="N43">
        <f t="shared" si="2"/>
        <v>216.25</v>
      </c>
      <c r="Q43">
        <v>71</v>
      </c>
      <c r="R43">
        <f t="shared" si="3"/>
        <v>161.5</v>
      </c>
    </row>
    <row r="44" spans="1:18" x14ac:dyDescent="0.25">
      <c r="A44" t="s">
        <v>110</v>
      </c>
      <c r="B44">
        <v>329</v>
      </c>
      <c r="C44">
        <v>422</v>
      </c>
      <c r="D44">
        <v>420</v>
      </c>
      <c r="E44">
        <v>712</v>
      </c>
      <c r="F44">
        <v>259</v>
      </c>
      <c r="G44">
        <v>328</v>
      </c>
      <c r="H44">
        <v>253</v>
      </c>
      <c r="I44">
        <v>649</v>
      </c>
      <c r="K44">
        <f t="shared" si="0"/>
        <v>421.5</v>
      </c>
      <c r="M44">
        <f t="shared" si="1"/>
        <v>470.75</v>
      </c>
      <c r="N44">
        <f t="shared" si="2"/>
        <v>372.25</v>
      </c>
      <c r="Q44">
        <v>88</v>
      </c>
      <c r="R44">
        <f t="shared" si="3"/>
        <v>333.5</v>
      </c>
    </row>
    <row r="45" spans="1:18" x14ac:dyDescent="0.25">
      <c r="A45" t="s">
        <v>120</v>
      </c>
      <c r="B45">
        <v>346</v>
      </c>
      <c r="C45">
        <v>169</v>
      </c>
      <c r="D45">
        <v>361</v>
      </c>
      <c r="E45" s="7"/>
      <c r="F45">
        <v>218</v>
      </c>
      <c r="G45">
        <v>316</v>
      </c>
      <c r="H45">
        <v>277</v>
      </c>
      <c r="I45">
        <v>248</v>
      </c>
      <c r="K45">
        <f t="shared" si="0"/>
        <v>276.42857142857144</v>
      </c>
      <c r="M45">
        <f t="shared" si="1"/>
        <v>292</v>
      </c>
      <c r="N45">
        <f t="shared" si="2"/>
        <v>264.75</v>
      </c>
      <c r="Q45">
        <v>54</v>
      </c>
      <c r="R45">
        <f t="shared" si="3"/>
        <v>222.42857142857144</v>
      </c>
    </row>
    <row r="46" spans="1:18" x14ac:dyDescent="0.25">
      <c r="A46" t="s">
        <v>125</v>
      </c>
      <c r="B46">
        <v>204</v>
      </c>
      <c r="C46">
        <v>188</v>
      </c>
      <c r="D46">
        <v>181</v>
      </c>
      <c r="E46">
        <v>199</v>
      </c>
      <c r="F46">
        <v>128</v>
      </c>
      <c r="G46">
        <v>227</v>
      </c>
      <c r="H46">
        <v>282</v>
      </c>
      <c r="I46">
        <v>259</v>
      </c>
      <c r="K46">
        <f t="shared" si="0"/>
        <v>208.5</v>
      </c>
      <c r="M46">
        <f t="shared" si="1"/>
        <v>193</v>
      </c>
      <c r="N46">
        <f t="shared" si="2"/>
        <v>224</v>
      </c>
      <c r="Q46">
        <v>59</v>
      </c>
      <c r="R46">
        <f t="shared" si="3"/>
        <v>149.5</v>
      </c>
    </row>
    <row r="47" spans="1:18" x14ac:dyDescent="0.25">
      <c r="A47" t="s">
        <v>130</v>
      </c>
      <c r="B47">
        <v>240</v>
      </c>
      <c r="C47">
        <v>242</v>
      </c>
      <c r="D47">
        <v>207</v>
      </c>
      <c r="E47">
        <v>286</v>
      </c>
      <c r="F47">
        <v>300</v>
      </c>
      <c r="G47">
        <v>223</v>
      </c>
      <c r="H47">
        <v>290</v>
      </c>
      <c r="I47">
        <v>235</v>
      </c>
      <c r="K47">
        <f t="shared" si="0"/>
        <v>252.875</v>
      </c>
      <c r="M47">
        <f t="shared" si="1"/>
        <v>243.75</v>
      </c>
      <c r="N47">
        <f t="shared" si="2"/>
        <v>262</v>
      </c>
      <c r="Q47">
        <v>63</v>
      </c>
      <c r="R47">
        <f t="shared" si="3"/>
        <v>189.875</v>
      </c>
    </row>
    <row r="48" spans="1:18" x14ac:dyDescent="0.25">
      <c r="A48" t="s">
        <v>145</v>
      </c>
      <c r="B48">
        <v>332</v>
      </c>
      <c r="C48">
        <v>187</v>
      </c>
      <c r="D48">
        <v>239</v>
      </c>
      <c r="E48">
        <v>282</v>
      </c>
      <c r="F48">
        <v>320</v>
      </c>
      <c r="G48">
        <v>283</v>
      </c>
      <c r="H48">
        <v>213</v>
      </c>
      <c r="I48">
        <v>160</v>
      </c>
      <c r="K48">
        <f t="shared" si="0"/>
        <v>252</v>
      </c>
      <c r="M48">
        <f t="shared" si="1"/>
        <v>260</v>
      </c>
      <c r="N48">
        <f t="shared" si="2"/>
        <v>244</v>
      </c>
      <c r="Q48">
        <v>59</v>
      </c>
      <c r="R48">
        <f t="shared" si="3"/>
        <v>193</v>
      </c>
    </row>
    <row r="49" spans="1:18" x14ac:dyDescent="0.25">
      <c r="A49" t="s">
        <v>144</v>
      </c>
      <c r="B49">
        <v>140</v>
      </c>
      <c r="C49">
        <v>203</v>
      </c>
      <c r="D49">
        <v>142</v>
      </c>
      <c r="E49">
        <v>208</v>
      </c>
      <c r="F49">
        <v>262</v>
      </c>
      <c r="G49">
        <v>327</v>
      </c>
      <c r="H49">
        <v>263</v>
      </c>
      <c r="I49">
        <v>256</v>
      </c>
      <c r="K49">
        <f t="shared" si="0"/>
        <v>225.125</v>
      </c>
      <c r="M49">
        <f t="shared" si="1"/>
        <v>173.25</v>
      </c>
      <c r="N49">
        <f t="shared" si="2"/>
        <v>277</v>
      </c>
      <c r="Q49">
        <v>60</v>
      </c>
      <c r="R49">
        <f t="shared" si="3"/>
        <v>165.125</v>
      </c>
    </row>
    <row r="50" spans="1:18" x14ac:dyDescent="0.25">
      <c r="A50" t="s">
        <v>132</v>
      </c>
      <c r="B50">
        <v>146</v>
      </c>
      <c r="C50">
        <v>110</v>
      </c>
      <c r="D50">
        <v>291</v>
      </c>
      <c r="E50">
        <v>229</v>
      </c>
      <c r="F50">
        <v>135</v>
      </c>
      <c r="G50">
        <v>240</v>
      </c>
      <c r="H50">
        <v>302</v>
      </c>
      <c r="I50">
        <v>194</v>
      </c>
      <c r="K50">
        <f t="shared" si="0"/>
        <v>205.875</v>
      </c>
      <c r="M50">
        <f t="shared" si="1"/>
        <v>194</v>
      </c>
      <c r="N50">
        <f t="shared" si="2"/>
        <v>217.75</v>
      </c>
      <c r="Q50">
        <v>60</v>
      </c>
      <c r="R50">
        <f t="shared" si="3"/>
        <v>145.875</v>
      </c>
    </row>
    <row r="51" spans="1:18" x14ac:dyDescent="0.25">
      <c r="A51" t="s">
        <v>146</v>
      </c>
      <c r="B51">
        <v>284</v>
      </c>
      <c r="C51">
        <v>251</v>
      </c>
      <c r="D51">
        <v>254</v>
      </c>
      <c r="E51">
        <v>451</v>
      </c>
      <c r="F51">
        <v>274</v>
      </c>
      <c r="G51">
        <v>294</v>
      </c>
      <c r="H51">
        <v>301</v>
      </c>
      <c r="I51">
        <v>241</v>
      </c>
      <c r="K51">
        <f t="shared" si="0"/>
        <v>293.75</v>
      </c>
      <c r="M51">
        <f t="shared" si="1"/>
        <v>310</v>
      </c>
      <c r="N51">
        <f t="shared" si="2"/>
        <v>277.5</v>
      </c>
      <c r="Q51">
        <v>76</v>
      </c>
      <c r="R51">
        <f t="shared" si="3"/>
        <v>217.75</v>
      </c>
    </row>
    <row r="52" spans="1:18" x14ac:dyDescent="0.25">
      <c r="A52" t="s">
        <v>147</v>
      </c>
      <c r="B52">
        <v>237</v>
      </c>
      <c r="C52">
        <v>204</v>
      </c>
      <c r="D52">
        <v>247</v>
      </c>
      <c r="E52">
        <v>258</v>
      </c>
      <c r="F52">
        <v>210</v>
      </c>
      <c r="G52">
        <v>221</v>
      </c>
      <c r="H52">
        <v>247</v>
      </c>
      <c r="I52">
        <v>208</v>
      </c>
      <c r="K52">
        <f t="shared" si="0"/>
        <v>229</v>
      </c>
      <c r="M52">
        <f t="shared" si="1"/>
        <v>236.5</v>
      </c>
      <c r="N52">
        <f t="shared" si="2"/>
        <v>221.5</v>
      </c>
      <c r="Q52">
        <v>61</v>
      </c>
      <c r="R52">
        <f t="shared" si="3"/>
        <v>168</v>
      </c>
    </row>
    <row r="53" spans="1:18" x14ac:dyDescent="0.25">
      <c r="A53" t="s">
        <v>155</v>
      </c>
      <c r="B53">
        <v>296</v>
      </c>
      <c r="C53">
        <v>295</v>
      </c>
      <c r="D53">
        <v>202</v>
      </c>
      <c r="E53" s="7"/>
      <c r="F53">
        <v>297</v>
      </c>
      <c r="G53">
        <v>171</v>
      </c>
      <c r="H53">
        <v>163</v>
      </c>
      <c r="I53">
        <v>84</v>
      </c>
      <c r="K53">
        <f t="shared" si="0"/>
        <v>215.42857142857142</v>
      </c>
      <c r="M53">
        <f t="shared" si="1"/>
        <v>264.33333333333331</v>
      </c>
      <c r="N53">
        <f t="shared" si="2"/>
        <v>178.75</v>
      </c>
      <c r="Q53">
        <v>59</v>
      </c>
      <c r="R53">
        <f t="shared" si="3"/>
        <v>156.42857142857142</v>
      </c>
    </row>
    <row r="54" spans="1:18" x14ac:dyDescent="0.25">
      <c r="A54" t="s">
        <v>158</v>
      </c>
      <c r="B54">
        <v>164</v>
      </c>
      <c r="C54">
        <v>147</v>
      </c>
      <c r="D54">
        <v>315</v>
      </c>
      <c r="E54">
        <v>162</v>
      </c>
      <c r="F54">
        <v>218</v>
      </c>
      <c r="G54">
        <v>212</v>
      </c>
      <c r="H54">
        <v>217</v>
      </c>
      <c r="I54">
        <v>138</v>
      </c>
      <c r="K54">
        <f t="shared" si="0"/>
        <v>196.625</v>
      </c>
      <c r="M54">
        <f t="shared" si="1"/>
        <v>197</v>
      </c>
      <c r="N54">
        <f t="shared" si="2"/>
        <v>196.25</v>
      </c>
      <c r="Q54">
        <v>62</v>
      </c>
      <c r="R54">
        <f t="shared" si="3"/>
        <v>134.625</v>
      </c>
    </row>
    <row r="55" spans="1:18" x14ac:dyDescent="0.25">
      <c r="A55" t="s">
        <v>162</v>
      </c>
      <c r="B55">
        <v>253</v>
      </c>
      <c r="C55">
        <v>236</v>
      </c>
      <c r="D55">
        <v>333</v>
      </c>
      <c r="E55">
        <v>321</v>
      </c>
      <c r="F55">
        <v>205</v>
      </c>
      <c r="G55">
        <v>244</v>
      </c>
      <c r="H55">
        <v>738</v>
      </c>
      <c r="I55">
        <v>282</v>
      </c>
      <c r="K55">
        <f t="shared" si="0"/>
        <v>326.5</v>
      </c>
      <c r="M55">
        <f t="shared" si="1"/>
        <v>285.75</v>
      </c>
      <c r="N55">
        <f t="shared" si="2"/>
        <v>367.25</v>
      </c>
      <c r="Q55">
        <v>73</v>
      </c>
      <c r="R55">
        <f t="shared" si="3"/>
        <v>253.5</v>
      </c>
    </row>
    <row r="56" spans="1:18" x14ac:dyDescent="0.25">
      <c r="A56" t="s">
        <v>160</v>
      </c>
      <c r="B56">
        <v>350</v>
      </c>
      <c r="C56">
        <v>369</v>
      </c>
      <c r="D56">
        <v>986</v>
      </c>
      <c r="E56">
        <v>299</v>
      </c>
      <c r="F56">
        <v>257</v>
      </c>
      <c r="G56">
        <v>232</v>
      </c>
      <c r="H56">
        <v>392</v>
      </c>
      <c r="I56">
        <v>400</v>
      </c>
      <c r="K56">
        <f t="shared" ref="K56:K61" si="10">AVERAGE(B56:I56)</f>
        <v>410.625</v>
      </c>
      <c r="M56">
        <f t="shared" ref="M56:M61" si="11">AVERAGE(B56:E56)</f>
        <v>501</v>
      </c>
      <c r="N56">
        <f t="shared" ref="N56:N61" si="12">AVERAGE(F56:I56)</f>
        <v>320.25</v>
      </c>
      <c r="Q56">
        <v>95</v>
      </c>
      <c r="R56">
        <f t="shared" ref="R56:R61" si="13">K56-Q56</f>
        <v>315.625</v>
      </c>
    </row>
    <row r="57" spans="1:18" x14ac:dyDescent="0.25">
      <c r="A57" t="s">
        <v>173</v>
      </c>
      <c r="B57">
        <v>210</v>
      </c>
      <c r="C57">
        <v>147</v>
      </c>
      <c r="D57">
        <v>244</v>
      </c>
      <c r="E57">
        <v>392</v>
      </c>
      <c r="F57">
        <v>443</v>
      </c>
      <c r="G57">
        <v>345</v>
      </c>
      <c r="H57">
        <v>239</v>
      </c>
      <c r="I57">
        <v>264</v>
      </c>
      <c r="K57">
        <f t="shared" si="10"/>
        <v>285.5</v>
      </c>
      <c r="M57">
        <f t="shared" si="11"/>
        <v>248.25</v>
      </c>
      <c r="N57">
        <f t="shared" si="12"/>
        <v>322.75</v>
      </c>
      <c r="Q57">
        <v>57</v>
      </c>
      <c r="R57">
        <f t="shared" si="13"/>
        <v>228.5</v>
      </c>
    </row>
    <row r="58" spans="1:18" x14ac:dyDescent="0.25">
      <c r="A58" t="s">
        <v>174</v>
      </c>
      <c r="B58">
        <v>301</v>
      </c>
      <c r="C58">
        <v>299</v>
      </c>
      <c r="D58">
        <v>310</v>
      </c>
      <c r="E58">
        <v>331</v>
      </c>
      <c r="F58">
        <v>846</v>
      </c>
      <c r="G58">
        <v>313</v>
      </c>
      <c r="H58">
        <v>337</v>
      </c>
      <c r="I58">
        <v>330</v>
      </c>
      <c r="K58">
        <f t="shared" si="10"/>
        <v>383.375</v>
      </c>
      <c r="M58">
        <f t="shared" si="11"/>
        <v>310.25</v>
      </c>
      <c r="N58">
        <f t="shared" si="12"/>
        <v>456.5</v>
      </c>
      <c r="Q58">
        <v>72</v>
      </c>
      <c r="R58">
        <f t="shared" si="13"/>
        <v>311.375</v>
      </c>
    </row>
    <row r="59" spans="1:18" x14ac:dyDescent="0.25">
      <c r="A59" t="s">
        <v>175</v>
      </c>
      <c r="B59">
        <v>407</v>
      </c>
      <c r="C59">
        <v>235</v>
      </c>
      <c r="D59">
        <v>242</v>
      </c>
      <c r="E59">
        <v>236</v>
      </c>
      <c r="F59">
        <v>186</v>
      </c>
      <c r="G59">
        <v>341</v>
      </c>
      <c r="H59">
        <v>178</v>
      </c>
      <c r="I59">
        <v>242</v>
      </c>
      <c r="K59">
        <f t="shared" si="10"/>
        <v>258.375</v>
      </c>
      <c r="M59">
        <f t="shared" si="11"/>
        <v>280</v>
      </c>
      <c r="N59">
        <f t="shared" si="12"/>
        <v>236.75</v>
      </c>
      <c r="Q59">
        <v>56</v>
      </c>
      <c r="R59">
        <f t="shared" si="13"/>
        <v>202.375</v>
      </c>
    </row>
    <row r="60" spans="1:18" x14ac:dyDescent="0.25">
      <c r="A60" t="s">
        <v>187</v>
      </c>
      <c r="B60">
        <v>272</v>
      </c>
      <c r="C60">
        <v>281</v>
      </c>
      <c r="D60">
        <v>332</v>
      </c>
      <c r="E60">
        <v>722</v>
      </c>
      <c r="F60">
        <v>332</v>
      </c>
      <c r="G60">
        <v>213</v>
      </c>
      <c r="H60">
        <v>461</v>
      </c>
      <c r="I60">
        <v>294</v>
      </c>
      <c r="K60">
        <f t="shared" si="10"/>
        <v>363.375</v>
      </c>
      <c r="M60">
        <f t="shared" si="11"/>
        <v>401.75</v>
      </c>
      <c r="N60">
        <f t="shared" si="12"/>
        <v>325</v>
      </c>
      <c r="Q60">
        <v>62</v>
      </c>
      <c r="R60">
        <f t="shared" si="13"/>
        <v>301.375</v>
      </c>
    </row>
    <row r="61" spans="1:18" x14ac:dyDescent="0.25">
      <c r="A61" t="s">
        <v>186</v>
      </c>
      <c r="B61">
        <v>341</v>
      </c>
      <c r="C61">
        <v>255</v>
      </c>
      <c r="D61">
        <v>203</v>
      </c>
      <c r="E61">
        <v>595</v>
      </c>
      <c r="F61">
        <v>246</v>
      </c>
      <c r="G61">
        <v>307</v>
      </c>
      <c r="H61">
        <v>257</v>
      </c>
      <c r="I61">
        <v>227</v>
      </c>
      <c r="K61">
        <f t="shared" si="10"/>
        <v>303.875</v>
      </c>
      <c r="M61">
        <f t="shared" si="11"/>
        <v>348.5</v>
      </c>
      <c r="N61">
        <f t="shared" si="12"/>
        <v>259.25</v>
      </c>
      <c r="Q61">
        <v>64</v>
      </c>
      <c r="R61">
        <f t="shared" si="13"/>
        <v>239.875</v>
      </c>
    </row>
    <row r="63" spans="1:18" x14ac:dyDescent="0.25">
      <c r="J63" s="25"/>
      <c r="K63" s="37"/>
      <c r="L63" s="25"/>
      <c r="M63" s="37"/>
      <c r="N63" s="37"/>
      <c r="O63" s="25"/>
      <c r="P63" s="25"/>
      <c r="Q63" s="37"/>
      <c r="R63" s="37"/>
    </row>
    <row r="65" spans="10:18" x14ac:dyDescent="0.25">
      <c r="J65" s="25"/>
      <c r="K65" s="12"/>
      <c r="L65" s="12"/>
      <c r="M65" s="12"/>
      <c r="N65" s="12"/>
      <c r="O65" s="12"/>
      <c r="P65" s="12"/>
      <c r="Q65" s="12"/>
      <c r="R65" s="12"/>
    </row>
    <row r="66" spans="10:18" x14ac:dyDescent="0.25">
      <c r="J66" s="25"/>
      <c r="K66" s="12"/>
      <c r="L66" s="12"/>
      <c r="M66" s="12"/>
      <c r="N66" s="12"/>
      <c r="O66" s="12"/>
      <c r="P66" s="12"/>
      <c r="Q66" s="12"/>
      <c r="R66" s="12"/>
    </row>
    <row r="67" spans="10:18" x14ac:dyDescent="0.25">
      <c r="K67" s="12"/>
      <c r="L67" s="12"/>
      <c r="M67" s="12"/>
      <c r="N67" s="12"/>
      <c r="O67" s="12"/>
      <c r="P67" s="12"/>
      <c r="Q67" s="12"/>
      <c r="R67" s="12"/>
    </row>
    <row r="68" spans="10:18" x14ac:dyDescent="0.25">
      <c r="J68" s="25"/>
      <c r="K68" s="12"/>
      <c r="L68" s="12"/>
      <c r="M68" s="12"/>
      <c r="N68" s="12"/>
      <c r="O68" s="12"/>
      <c r="P68" s="12"/>
      <c r="Q68" s="12"/>
      <c r="R68" s="12"/>
    </row>
    <row r="69" spans="10:18" x14ac:dyDescent="0.25">
      <c r="J69" s="25"/>
      <c r="K69" s="12"/>
      <c r="L69" s="12"/>
      <c r="M69" s="12"/>
      <c r="N69" s="12"/>
      <c r="O69" s="12"/>
      <c r="P69" s="12"/>
      <c r="Q69" s="12"/>
      <c r="R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R85"/>
  <sheetViews>
    <sheetView zoomScale="55" zoomScaleNormal="55" workbookViewId="0">
      <selection activeCell="Y59" sqref="Y59"/>
    </sheetView>
  </sheetViews>
  <sheetFormatPr defaultRowHeight="15" x14ac:dyDescent="0.25"/>
  <sheetData>
    <row r="1" spans="1:18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Q1" s="25" t="s">
        <v>245</v>
      </c>
      <c r="R1" s="25" t="s">
        <v>246</v>
      </c>
    </row>
    <row r="2" spans="1:18" x14ac:dyDescent="0.25">
      <c r="A2" t="s">
        <v>3</v>
      </c>
      <c r="B2">
        <v>32</v>
      </c>
      <c r="C2">
        <v>33.9</v>
      </c>
      <c r="D2">
        <v>35.4</v>
      </c>
      <c r="E2">
        <v>35</v>
      </c>
      <c r="F2">
        <v>29.3</v>
      </c>
      <c r="G2">
        <v>30.3</v>
      </c>
      <c r="H2">
        <v>30</v>
      </c>
      <c r="I2">
        <v>20.100000000000001</v>
      </c>
      <c r="K2" s="1">
        <f>AVERAGE(B2:I2)</f>
        <v>30.750000000000004</v>
      </c>
      <c r="L2" s="1"/>
      <c r="M2" s="1">
        <f>AVERAGE(B2:E2)</f>
        <v>34.075000000000003</v>
      </c>
      <c r="N2" s="1">
        <f>AVERAGE(F2:I2)</f>
        <v>27.424999999999997</v>
      </c>
      <c r="Q2">
        <v>8.5</v>
      </c>
      <c r="R2" s="1">
        <f>K2-Q2</f>
        <v>22.250000000000004</v>
      </c>
    </row>
    <row r="3" spans="1:18" x14ac:dyDescent="0.25">
      <c r="A3" t="s">
        <v>13</v>
      </c>
      <c r="B3">
        <v>52</v>
      </c>
      <c r="C3">
        <v>53</v>
      </c>
      <c r="D3">
        <v>75</v>
      </c>
      <c r="E3">
        <v>49</v>
      </c>
      <c r="F3">
        <v>59</v>
      </c>
      <c r="G3">
        <v>67</v>
      </c>
      <c r="H3">
        <v>43</v>
      </c>
      <c r="I3">
        <v>39.200000000000003</v>
      </c>
      <c r="K3">
        <f t="shared" ref="K3:K55" si="0">AVERAGE(B3:I3)</f>
        <v>54.65</v>
      </c>
      <c r="M3">
        <f t="shared" ref="M3:M55" si="1">AVERAGE(B3:E3)</f>
        <v>57.25</v>
      </c>
      <c r="N3">
        <f t="shared" ref="N3:N55" si="2">AVERAGE(F3:I3)</f>
        <v>52.05</v>
      </c>
      <c r="Q3">
        <v>11.2</v>
      </c>
      <c r="R3" s="1">
        <f t="shared" ref="R3:R55" si="3">K3-Q3</f>
        <v>43.45</v>
      </c>
    </row>
    <row r="4" spans="1:18" x14ac:dyDescent="0.25">
      <c r="A4" t="s">
        <v>68</v>
      </c>
      <c r="B4">
        <v>23.3</v>
      </c>
      <c r="C4" s="4">
        <v>28.3</v>
      </c>
      <c r="D4" s="4">
        <v>32.9</v>
      </c>
      <c r="E4" s="4">
        <v>19.3</v>
      </c>
      <c r="F4">
        <v>28.1</v>
      </c>
      <c r="G4">
        <v>18.899999999999999</v>
      </c>
      <c r="H4">
        <v>17.600000000000001</v>
      </c>
      <c r="I4">
        <v>49</v>
      </c>
      <c r="K4">
        <f t="shared" si="0"/>
        <v>27.175000000000001</v>
      </c>
      <c r="M4">
        <f t="shared" si="1"/>
        <v>25.95</v>
      </c>
      <c r="N4">
        <f t="shared" si="2"/>
        <v>28.4</v>
      </c>
      <c r="Q4">
        <v>7.6</v>
      </c>
      <c r="R4" s="1">
        <f t="shared" si="3"/>
        <v>19.575000000000003</v>
      </c>
    </row>
    <row r="5" spans="1:18" x14ac:dyDescent="0.25">
      <c r="A5" t="s">
        <v>69</v>
      </c>
      <c r="B5">
        <v>18</v>
      </c>
      <c r="C5" s="4">
        <v>24.9</v>
      </c>
      <c r="D5" s="4">
        <v>17.2</v>
      </c>
      <c r="E5" s="4">
        <v>17.899999999999999</v>
      </c>
      <c r="F5" s="4">
        <v>19.100000000000001</v>
      </c>
      <c r="G5" s="4">
        <v>16.899999999999999</v>
      </c>
      <c r="H5" s="4">
        <v>30.1</v>
      </c>
      <c r="I5" s="4">
        <v>18.600000000000001</v>
      </c>
      <c r="K5">
        <f t="shared" si="0"/>
        <v>20.337499999999999</v>
      </c>
      <c r="M5">
        <f t="shared" si="1"/>
        <v>19.5</v>
      </c>
      <c r="N5">
        <f t="shared" si="2"/>
        <v>21.174999999999997</v>
      </c>
      <c r="Q5">
        <v>5.4</v>
      </c>
      <c r="R5" s="1">
        <f t="shared" si="3"/>
        <v>14.937499999999998</v>
      </c>
    </row>
    <row r="6" spans="1:18" x14ac:dyDescent="0.25">
      <c r="A6" t="s">
        <v>70</v>
      </c>
      <c r="B6">
        <v>21.8</v>
      </c>
      <c r="C6" s="4">
        <v>30.3</v>
      </c>
      <c r="D6" s="4">
        <v>11.2</v>
      </c>
      <c r="E6" s="4">
        <v>19.399999999999999</v>
      </c>
      <c r="F6" s="4">
        <v>15.9</v>
      </c>
      <c r="G6" s="4">
        <v>25.5</v>
      </c>
      <c r="H6" s="4">
        <v>23.9</v>
      </c>
      <c r="I6" s="4">
        <v>15.5</v>
      </c>
      <c r="K6">
        <f t="shared" si="0"/>
        <v>20.4375</v>
      </c>
      <c r="M6">
        <f t="shared" si="1"/>
        <v>20.674999999999997</v>
      </c>
      <c r="N6">
        <f t="shared" si="2"/>
        <v>20.2</v>
      </c>
      <c r="Q6">
        <v>4.4000000000000004</v>
      </c>
      <c r="R6" s="1">
        <f t="shared" si="3"/>
        <v>16.037500000000001</v>
      </c>
    </row>
    <row r="7" spans="1:18" x14ac:dyDescent="0.25">
      <c r="A7" t="s">
        <v>74</v>
      </c>
      <c r="B7">
        <v>18.5</v>
      </c>
      <c r="C7">
        <v>21.6</v>
      </c>
      <c r="D7">
        <v>23</v>
      </c>
      <c r="E7">
        <v>12.5</v>
      </c>
      <c r="F7">
        <v>21</v>
      </c>
      <c r="G7">
        <v>13.4</v>
      </c>
      <c r="H7">
        <v>24</v>
      </c>
      <c r="I7">
        <v>10.5</v>
      </c>
      <c r="K7">
        <f t="shared" si="0"/>
        <v>18.0625</v>
      </c>
      <c r="M7">
        <f t="shared" si="1"/>
        <v>18.899999999999999</v>
      </c>
      <c r="N7">
        <f t="shared" si="2"/>
        <v>17.225000000000001</v>
      </c>
      <c r="Q7">
        <v>4.8</v>
      </c>
      <c r="R7" s="1">
        <f t="shared" si="3"/>
        <v>13.262499999999999</v>
      </c>
    </row>
    <row r="8" spans="1:18" x14ac:dyDescent="0.25">
      <c r="A8" t="s">
        <v>79</v>
      </c>
      <c r="B8">
        <v>26.3</v>
      </c>
      <c r="C8">
        <v>18.399999999999999</v>
      </c>
      <c r="D8">
        <v>26.8</v>
      </c>
      <c r="E8">
        <v>19.2</v>
      </c>
      <c r="F8">
        <v>50</v>
      </c>
      <c r="G8">
        <v>30.7</v>
      </c>
      <c r="H8">
        <v>24.4</v>
      </c>
      <c r="I8">
        <v>26.3</v>
      </c>
      <c r="K8">
        <f t="shared" si="0"/>
        <v>27.762499999999999</v>
      </c>
      <c r="M8">
        <f t="shared" si="1"/>
        <v>22.675000000000001</v>
      </c>
      <c r="N8">
        <f t="shared" si="2"/>
        <v>32.85</v>
      </c>
      <c r="Q8">
        <v>5.2</v>
      </c>
      <c r="R8" s="1">
        <f t="shared" si="3"/>
        <v>22.5625</v>
      </c>
    </row>
    <row r="9" spans="1:18" x14ac:dyDescent="0.25">
      <c r="A9" t="s">
        <v>80</v>
      </c>
      <c r="B9">
        <v>20.6</v>
      </c>
      <c r="C9">
        <v>29.7</v>
      </c>
      <c r="D9">
        <v>35.1</v>
      </c>
      <c r="E9">
        <v>35.5</v>
      </c>
      <c r="F9">
        <v>57</v>
      </c>
      <c r="G9">
        <v>40</v>
      </c>
      <c r="H9">
        <v>29.1</v>
      </c>
      <c r="I9">
        <v>67</v>
      </c>
      <c r="K9">
        <f t="shared" si="0"/>
        <v>39.25</v>
      </c>
      <c r="M9">
        <f t="shared" si="1"/>
        <v>30.225000000000001</v>
      </c>
      <c r="N9">
        <f t="shared" si="2"/>
        <v>48.274999999999999</v>
      </c>
      <c r="Q9">
        <v>6.4</v>
      </c>
      <c r="R9" s="1">
        <f t="shared" si="3"/>
        <v>32.85</v>
      </c>
    </row>
    <row r="10" spans="1:18" x14ac:dyDescent="0.25">
      <c r="A10" t="s">
        <v>86</v>
      </c>
      <c r="B10">
        <v>23.8</v>
      </c>
      <c r="C10">
        <v>20.9</v>
      </c>
      <c r="D10">
        <v>24.8</v>
      </c>
      <c r="E10">
        <v>16.899999999999999</v>
      </c>
      <c r="F10">
        <v>14.6</v>
      </c>
      <c r="G10">
        <v>22.6</v>
      </c>
      <c r="H10">
        <v>20.2</v>
      </c>
      <c r="I10">
        <v>13.8</v>
      </c>
      <c r="K10">
        <f t="shared" si="0"/>
        <v>19.7</v>
      </c>
      <c r="M10">
        <f t="shared" si="1"/>
        <v>21.6</v>
      </c>
      <c r="N10">
        <f t="shared" si="2"/>
        <v>17.8</v>
      </c>
      <c r="Q10">
        <v>4.5999999999999996</v>
      </c>
      <c r="R10" s="1">
        <f t="shared" si="3"/>
        <v>15.1</v>
      </c>
    </row>
    <row r="11" spans="1:18" x14ac:dyDescent="0.25">
      <c r="A11" t="s">
        <v>92</v>
      </c>
      <c r="B11">
        <v>10.199999999999999</v>
      </c>
      <c r="C11">
        <v>8.5</v>
      </c>
      <c r="D11">
        <v>9.1999999999999993</v>
      </c>
      <c r="E11">
        <v>11.4</v>
      </c>
      <c r="F11">
        <v>16.899999999999999</v>
      </c>
      <c r="G11">
        <v>7.9</v>
      </c>
      <c r="H11">
        <v>7.2</v>
      </c>
      <c r="I11">
        <v>7.6</v>
      </c>
      <c r="K11">
        <f t="shared" si="0"/>
        <v>9.8624999999999989</v>
      </c>
      <c r="M11">
        <f t="shared" si="1"/>
        <v>9.8249999999999993</v>
      </c>
      <c r="N11">
        <f t="shared" si="2"/>
        <v>9.8999999999999986</v>
      </c>
      <c r="Q11">
        <v>4.2</v>
      </c>
      <c r="R11" s="1">
        <f t="shared" si="3"/>
        <v>5.6624999999999988</v>
      </c>
    </row>
    <row r="12" spans="1:18" x14ac:dyDescent="0.25">
      <c r="A12" t="s">
        <v>93</v>
      </c>
      <c r="B12">
        <v>22.9</v>
      </c>
      <c r="C12">
        <v>16.399999999999999</v>
      </c>
      <c r="D12">
        <v>11.2</v>
      </c>
      <c r="E12">
        <v>12.2</v>
      </c>
      <c r="F12">
        <v>18.399999999999999</v>
      </c>
      <c r="G12">
        <v>23.1</v>
      </c>
      <c r="H12">
        <v>16</v>
      </c>
      <c r="I12">
        <v>15.2</v>
      </c>
      <c r="K12">
        <f t="shared" si="0"/>
        <v>16.924999999999997</v>
      </c>
      <c r="M12">
        <f t="shared" si="1"/>
        <v>15.675000000000001</v>
      </c>
      <c r="N12">
        <f t="shared" si="2"/>
        <v>18.175000000000001</v>
      </c>
      <c r="Q12">
        <v>5.6</v>
      </c>
      <c r="R12" s="1">
        <f t="shared" si="3"/>
        <v>11.324999999999998</v>
      </c>
    </row>
    <row r="13" spans="1:18" x14ac:dyDescent="0.25">
      <c r="A13" t="s">
        <v>110</v>
      </c>
      <c r="B13">
        <v>24</v>
      </c>
      <c r="C13">
        <v>15.1</v>
      </c>
      <c r="D13">
        <v>21.5</v>
      </c>
      <c r="E13">
        <v>18.399999999999999</v>
      </c>
      <c r="F13">
        <v>25.8</v>
      </c>
      <c r="G13">
        <v>37.6</v>
      </c>
      <c r="H13">
        <v>28.2</v>
      </c>
      <c r="I13">
        <v>32.700000000000003</v>
      </c>
      <c r="K13">
        <f t="shared" si="0"/>
        <v>25.412500000000001</v>
      </c>
      <c r="M13">
        <f t="shared" si="1"/>
        <v>19.75</v>
      </c>
      <c r="N13">
        <f t="shared" si="2"/>
        <v>31.075000000000003</v>
      </c>
      <c r="Q13">
        <v>6.4</v>
      </c>
      <c r="R13" s="1">
        <f t="shared" si="3"/>
        <v>19.012500000000003</v>
      </c>
    </row>
    <row r="14" spans="1:18" x14ac:dyDescent="0.25">
      <c r="A14" t="s">
        <v>120</v>
      </c>
      <c r="B14">
        <v>42</v>
      </c>
      <c r="C14">
        <v>28.4</v>
      </c>
      <c r="D14">
        <v>29.3</v>
      </c>
      <c r="E14">
        <v>29.4</v>
      </c>
      <c r="F14">
        <v>30.9</v>
      </c>
      <c r="G14">
        <v>23</v>
      </c>
      <c r="H14">
        <v>13.5</v>
      </c>
      <c r="I14">
        <v>30.6</v>
      </c>
      <c r="K14">
        <f t="shared" si="0"/>
        <v>28.387499999999999</v>
      </c>
      <c r="M14">
        <f t="shared" si="1"/>
        <v>32.274999999999999</v>
      </c>
      <c r="N14">
        <f t="shared" si="2"/>
        <v>24.5</v>
      </c>
      <c r="Q14">
        <v>5.9</v>
      </c>
      <c r="R14" s="1">
        <f t="shared" si="3"/>
        <v>22.487499999999997</v>
      </c>
    </row>
    <row r="15" spans="1:18" x14ac:dyDescent="0.25">
      <c r="A15" t="s">
        <v>125</v>
      </c>
      <c r="B15">
        <v>11</v>
      </c>
      <c r="C15">
        <v>9.6</v>
      </c>
      <c r="D15">
        <v>25</v>
      </c>
      <c r="E15">
        <v>15.1</v>
      </c>
      <c r="F15">
        <v>15.4</v>
      </c>
      <c r="G15">
        <v>21.9</v>
      </c>
      <c r="H15">
        <v>19.100000000000001</v>
      </c>
      <c r="I15">
        <v>13.7</v>
      </c>
      <c r="K15">
        <f t="shared" si="0"/>
        <v>16.349999999999998</v>
      </c>
      <c r="M15">
        <f t="shared" si="1"/>
        <v>15.175000000000001</v>
      </c>
      <c r="N15">
        <f t="shared" si="2"/>
        <v>17.524999999999999</v>
      </c>
      <c r="Q15">
        <v>4.5999999999999996</v>
      </c>
      <c r="R15" s="1">
        <f t="shared" si="3"/>
        <v>11.749999999999998</v>
      </c>
    </row>
    <row r="16" spans="1:18" x14ac:dyDescent="0.25">
      <c r="A16" t="s">
        <v>130</v>
      </c>
      <c r="B16">
        <v>30.2</v>
      </c>
      <c r="C16">
        <v>25.7</v>
      </c>
      <c r="D16">
        <v>31.3</v>
      </c>
      <c r="E16">
        <v>36.200000000000003</v>
      </c>
      <c r="F16">
        <v>31.6</v>
      </c>
      <c r="G16">
        <v>39.4</v>
      </c>
      <c r="H16">
        <v>38.1</v>
      </c>
      <c r="I16">
        <v>29.3</v>
      </c>
      <c r="K16">
        <f t="shared" si="0"/>
        <v>32.725000000000001</v>
      </c>
      <c r="M16">
        <f t="shared" si="1"/>
        <v>30.85</v>
      </c>
      <c r="N16">
        <f t="shared" si="2"/>
        <v>34.6</v>
      </c>
      <c r="Q16">
        <v>4.8</v>
      </c>
      <c r="R16" s="1">
        <f t="shared" si="3"/>
        <v>27.925000000000001</v>
      </c>
    </row>
    <row r="17" spans="1:18" x14ac:dyDescent="0.25">
      <c r="A17" t="s">
        <v>145</v>
      </c>
      <c r="B17">
        <v>25.9</v>
      </c>
      <c r="C17">
        <v>14.9</v>
      </c>
      <c r="D17">
        <v>9.5</v>
      </c>
      <c r="E17">
        <v>20.7</v>
      </c>
      <c r="F17">
        <v>26.1</v>
      </c>
      <c r="G17">
        <v>18.899999999999999</v>
      </c>
      <c r="H17">
        <v>18.3</v>
      </c>
      <c r="I17">
        <v>19.8</v>
      </c>
      <c r="K17">
        <f t="shared" si="0"/>
        <v>19.262500000000003</v>
      </c>
      <c r="M17">
        <f t="shared" si="1"/>
        <v>17.75</v>
      </c>
      <c r="N17">
        <f t="shared" si="2"/>
        <v>20.774999999999999</v>
      </c>
      <c r="Q17">
        <v>5.3</v>
      </c>
      <c r="R17" s="1">
        <f t="shared" si="3"/>
        <v>13.962500000000002</v>
      </c>
    </row>
    <row r="18" spans="1:18" x14ac:dyDescent="0.25">
      <c r="A18" t="s">
        <v>144</v>
      </c>
      <c r="B18">
        <v>26.3</v>
      </c>
      <c r="C18">
        <v>48</v>
      </c>
      <c r="D18">
        <v>29.5</v>
      </c>
      <c r="E18">
        <v>17.8</v>
      </c>
      <c r="F18">
        <v>29.5</v>
      </c>
      <c r="G18">
        <v>33.9</v>
      </c>
      <c r="H18">
        <v>16.8</v>
      </c>
      <c r="I18">
        <v>28.1</v>
      </c>
      <c r="K18">
        <f t="shared" si="0"/>
        <v>28.737500000000001</v>
      </c>
      <c r="M18">
        <f t="shared" si="1"/>
        <v>30.4</v>
      </c>
      <c r="N18">
        <f t="shared" si="2"/>
        <v>27.075000000000003</v>
      </c>
      <c r="Q18">
        <v>6.2</v>
      </c>
      <c r="R18" s="1">
        <f t="shared" si="3"/>
        <v>22.537500000000001</v>
      </c>
    </row>
    <row r="19" spans="1:18" x14ac:dyDescent="0.25">
      <c r="A19" t="s">
        <v>132</v>
      </c>
      <c r="B19">
        <v>35.6</v>
      </c>
      <c r="C19">
        <v>38.799999999999997</v>
      </c>
      <c r="D19">
        <v>43</v>
      </c>
      <c r="E19">
        <v>29.1</v>
      </c>
      <c r="F19">
        <v>41</v>
      </c>
      <c r="G19">
        <v>54</v>
      </c>
      <c r="H19">
        <v>49</v>
      </c>
      <c r="I19">
        <v>31.5</v>
      </c>
      <c r="K19">
        <f t="shared" si="0"/>
        <v>40.25</v>
      </c>
      <c r="M19">
        <f t="shared" si="1"/>
        <v>36.625</v>
      </c>
      <c r="N19">
        <f t="shared" si="2"/>
        <v>43.875</v>
      </c>
      <c r="Q19">
        <v>5.4</v>
      </c>
      <c r="R19" s="1">
        <f t="shared" si="3"/>
        <v>34.85</v>
      </c>
    </row>
    <row r="20" spans="1:18" x14ac:dyDescent="0.25">
      <c r="A20" t="s">
        <v>146</v>
      </c>
      <c r="B20">
        <v>26</v>
      </c>
      <c r="C20">
        <v>26.4</v>
      </c>
      <c r="D20">
        <v>32.1</v>
      </c>
      <c r="E20">
        <v>30.9</v>
      </c>
      <c r="F20">
        <v>23</v>
      </c>
      <c r="G20">
        <v>37.799999999999997</v>
      </c>
      <c r="H20">
        <v>21</v>
      </c>
      <c r="I20">
        <v>16.399999999999999</v>
      </c>
      <c r="K20">
        <f t="shared" si="0"/>
        <v>26.7</v>
      </c>
      <c r="M20">
        <f t="shared" si="1"/>
        <v>28.85</v>
      </c>
      <c r="N20">
        <f t="shared" si="2"/>
        <v>24.549999999999997</v>
      </c>
      <c r="Q20">
        <v>5.8</v>
      </c>
      <c r="R20" s="1">
        <f t="shared" si="3"/>
        <v>20.9</v>
      </c>
    </row>
    <row r="21" spans="1:18" x14ac:dyDescent="0.25">
      <c r="A21" t="s">
        <v>147</v>
      </c>
      <c r="B21">
        <v>16.7</v>
      </c>
      <c r="C21">
        <v>16.3</v>
      </c>
      <c r="D21">
        <v>14.9</v>
      </c>
      <c r="E21">
        <v>8.3000000000000007</v>
      </c>
      <c r="F21">
        <v>23.4</v>
      </c>
      <c r="G21">
        <v>16.7</v>
      </c>
      <c r="H21">
        <v>10.199999999999999</v>
      </c>
      <c r="I21">
        <v>13.9</v>
      </c>
      <c r="K21">
        <f t="shared" si="0"/>
        <v>15.05</v>
      </c>
      <c r="M21">
        <f t="shared" si="1"/>
        <v>14.05</v>
      </c>
      <c r="N21">
        <f t="shared" si="2"/>
        <v>16.05</v>
      </c>
      <c r="Q21">
        <v>4.3</v>
      </c>
      <c r="R21" s="1">
        <f t="shared" si="3"/>
        <v>10.75</v>
      </c>
    </row>
    <row r="22" spans="1:18" x14ac:dyDescent="0.25">
      <c r="A22" t="s">
        <v>155</v>
      </c>
      <c r="B22">
        <v>39.1</v>
      </c>
      <c r="C22">
        <v>23</v>
      </c>
      <c r="D22">
        <v>15.7</v>
      </c>
      <c r="E22">
        <v>23.2</v>
      </c>
      <c r="F22">
        <v>41</v>
      </c>
      <c r="G22">
        <v>23.6</v>
      </c>
      <c r="H22">
        <v>24.4</v>
      </c>
      <c r="I22">
        <v>34.299999999999997</v>
      </c>
      <c r="K22">
        <f t="shared" si="0"/>
        <v>28.037500000000001</v>
      </c>
      <c r="M22">
        <f t="shared" si="1"/>
        <v>25.25</v>
      </c>
      <c r="N22">
        <f t="shared" si="2"/>
        <v>30.824999999999999</v>
      </c>
      <c r="Q22">
        <v>6.6</v>
      </c>
      <c r="R22" s="1">
        <f t="shared" si="3"/>
        <v>21.4375</v>
      </c>
    </row>
    <row r="23" spans="1:18" x14ac:dyDescent="0.25">
      <c r="A23" t="s">
        <v>158</v>
      </c>
      <c r="B23">
        <v>11.1</v>
      </c>
      <c r="C23">
        <v>11.1</v>
      </c>
      <c r="D23">
        <v>13.4</v>
      </c>
      <c r="E23">
        <v>21.5</v>
      </c>
      <c r="F23">
        <v>11.2</v>
      </c>
      <c r="G23">
        <v>27.2</v>
      </c>
      <c r="H23">
        <v>22.1</v>
      </c>
      <c r="I23">
        <v>13.3</v>
      </c>
      <c r="K23">
        <f t="shared" si="0"/>
        <v>16.362500000000001</v>
      </c>
      <c r="M23">
        <f t="shared" si="1"/>
        <v>14.275</v>
      </c>
      <c r="N23">
        <f t="shared" si="2"/>
        <v>18.45</v>
      </c>
      <c r="Q23">
        <v>4.5999999999999996</v>
      </c>
      <c r="R23" s="1">
        <f t="shared" si="3"/>
        <v>11.762500000000001</v>
      </c>
    </row>
    <row r="24" spans="1:18" x14ac:dyDescent="0.25">
      <c r="A24" t="s">
        <v>162</v>
      </c>
      <c r="B24">
        <v>17.2</v>
      </c>
      <c r="C24">
        <v>20.5</v>
      </c>
      <c r="D24">
        <v>28.5</v>
      </c>
      <c r="E24">
        <v>37.200000000000003</v>
      </c>
      <c r="F24">
        <v>17.399999999999999</v>
      </c>
      <c r="G24">
        <v>20.2</v>
      </c>
      <c r="H24">
        <v>15.6</v>
      </c>
      <c r="I24">
        <v>19</v>
      </c>
      <c r="K24">
        <f>AVERAGE(B24:I24)</f>
        <v>21.95</v>
      </c>
      <c r="M24">
        <f>AVERAGE(C24:F24)</f>
        <v>25.9</v>
      </c>
      <c r="N24">
        <f>AVERAGE(G24:I24)</f>
        <v>18.266666666666666</v>
      </c>
      <c r="Q24">
        <v>5.8</v>
      </c>
      <c r="R24" s="1">
        <f t="shared" si="3"/>
        <v>16.149999999999999</v>
      </c>
    </row>
    <row r="25" spans="1:18" x14ac:dyDescent="0.25">
      <c r="A25" t="s">
        <v>160</v>
      </c>
      <c r="B25">
        <v>22.5</v>
      </c>
      <c r="C25">
        <v>34.1</v>
      </c>
      <c r="D25">
        <v>51</v>
      </c>
      <c r="E25">
        <v>50</v>
      </c>
      <c r="F25">
        <v>35.799999999999997</v>
      </c>
      <c r="G25">
        <v>50</v>
      </c>
      <c r="H25">
        <v>23.9</v>
      </c>
      <c r="I25">
        <v>35.6</v>
      </c>
      <c r="K25">
        <f t="shared" ref="K25:K30" si="4">AVERAGE(B25:I25)</f>
        <v>37.862499999999997</v>
      </c>
      <c r="M25">
        <f t="shared" ref="M25:M30" si="5">AVERAGE(B25:E25)</f>
        <v>39.4</v>
      </c>
      <c r="N25">
        <f t="shared" ref="N25:N30" si="6">AVERAGE(F25:I25)</f>
        <v>36.324999999999996</v>
      </c>
      <c r="Q25">
        <v>7.5</v>
      </c>
      <c r="R25" s="1">
        <f t="shared" si="3"/>
        <v>30.362499999999997</v>
      </c>
    </row>
    <row r="26" spans="1:18" x14ac:dyDescent="0.25">
      <c r="A26" t="s">
        <v>173</v>
      </c>
      <c r="B26">
        <v>41</v>
      </c>
      <c r="C26">
        <v>45</v>
      </c>
      <c r="D26">
        <v>35.799999999999997</v>
      </c>
      <c r="E26">
        <v>44</v>
      </c>
      <c r="F26">
        <v>24.1</v>
      </c>
      <c r="G26">
        <v>35.6</v>
      </c>
      <c r="H26">
        <v>26.3</v>
      </c>
      <c r="I26">
        <v>32.299999999999997</v>
      </c>
      <c r="K26">
        <f t="shared" si="4"/>
        <v>35.512500000000003</v>
      </c>
      <c r="M26">
        <f t="shared" si="5"/>
        <v>41.45</v>
      </c>
      <c r="N26">
        <f t="shared" si="6"/>
        <v>29.574999999999999</v>
      </c>
      <c r="Q26">
        <v>4.4000000000000004</v>
      </c>
      <c r="R26" s="1">
        <f t="shared" si="3"/>
        <v>31.112500000000004</v>
      </c>
    </row>
    <row r="27" spans="1:18" x14ac:dyDescent="0.25">
      <c r="A27" t="s">
        <v>174</v>
      </c>
      <c r="B27">
        <v>35.200000000000003</v>
      </c>
      <c r="C27">
        <v>47</v>
      </c>
      <c r="D27">
        <v>28</v>
      </c>
      <c r="E27">
        <v>57</v>
      </c>
      <c r="F27">
        <v>50</v>
      </c>
      <c r="G27">
        <v>34.5</v>
      </c>
      <c r="H27">
        <v>31.6</v>
      </c>
      <c r="I27">
        <v>25.5</v>
      </c>
      <c r="K27">
        <f t="shared" si="4"/>
        <v>38.6</v>
      </c>
      <c r="M27">
        <f t="shared" si="5"/>
        <v>41.8</v>
      </c>
      <c r="N27">
        <f t="shared" si="6"/>
        <v>35.4</v>
      </c>
      <c r="Q27">
        <v>5.8</v>
      </c>
      <c r="R27" s="1">
        <f t="shared" si="3"/>
        <v>32.800000000000004</v>
      </c>
    </row>
    <row r="28" spans="1:18" x14ac:dyDescent="0.25">
      <c r="A28" t="s">
        <v>175</v>
      </c>
      <c r="B28">
        <v>12.9</v>
      </c>
      <c r="C28">
        <v>25.3</v>
      </c>
      <c r="D28">
        <v>12.7</v>
      </c>
      <c r="E28">
        <v>17.100000000000001</v>
      </c>
      <c r="F28">
        <v>19.2</v>
      </c>
      <c r="G28">
        <v>11.5</v>
      </c>
      <c r="H28">
        <v>21.6</v>
      </c>
      <c r="I28">
        <v>16.600000000000001</v>
      </c>
      <c r="K28">
        <f t="shared" si="4"/>
        <v>17.112500000000001</v>
      </c>
      <c r="M28">
        <f t="shared" si="5"/>
        <v>17</v>
      </c>
      <c r="N28">
        <f t="shared" si="6"/>
        <v>17.225000000000001</v>
      </c>
      <c r="Q28">
        <v>5</v>
      </c>
      <c r="R28" s="1">
        <f t="shared" si="3"/>
        <v>12.112500000000001</v>
      </c>
    </row>
    <row r="29" spans="1:18" x14ac:dyDescent="0.25">
      <c r="A29" t="s">
        <v>187</v>
      </c>
      <c r="B29">
        <v>24.1</v>
      </c>
      <c r="C29">
        <v>12.3</v>
      </c>
      <c r="D29">
        <v>25.4</v>
      </c>
      <c r="E29">
        <v>24.2</v>
      </c>
      <c r="F29">
        <v>28.4</v>
      </c>
      <c r="G29">
        <v>26.9</v>
      </c>
      <c r="H29">
        <v>17.5</v>
      </c>
      <c r="I29">
        <v>23</v>
      </c>
      <c r="K29">
        <f t="shared" si="4"/>
        <v>22.725000000000001</v>
      </c>
      <c r="M29">
        <f t="shared" si="5"/>
        <v>21.5</v>
      </c>
      <c r="N29">
        <f t="shared" si="6"/>
        <v>23.95</v>
      </c>
      <c r="Q29">
        <v>4.8</v>
      </c>
      <c r="R29" s="1">
        <f t="shared" si="3"/>
        <v>17.925000000000001</v>
      </c>
    </row>
    <row r="30" spans="1:18" x14ac:dyDescent="0.25">
      <c r="A30" t="s">
        <v>186</v>
      </c>
      <c r="B30">
        <v>35.1</v>
      </c>
      <c r="C30">
        <v>33.700000000000003</v>
      </c>
      <c r="D30">
        <v>28.8</v>
      </c>
      <c r="E30">
        <v>13.1</v>
      </c>
      <c r="F30">
        <v>16.2</v>
      </c>
      <c r="G30">
        <v>16.8</v>
      </c>
      <c r="H30">
        <v>11.1</v>
      </c>
      <c r="I30">
        <v>34.700000000000003</v>
      </c>
      <c r="K30">
        <f t="shared" si="4"/>
        <v>23.6875</v>
      </c>
      <c r="M30">
        <f t="shared" si="5"/>
        <v>27.675000000000001</v>
      </c>
      <c r="N30">
        <f t="shared" si="6"/>
        <v>19.700000000000003</v>
      </c>
      <c r="Q30">
        <v>5.7</v>
      </c>
      <c r="R30" s="1">
        <f t="shared" si="3"/>
        <v>17.987500000000001</v>
      </c>
    </row>
    <row r="31" spans="1:18" x14ac:dyDescent="0.25">
      <c r="R31" s="1"/>
    </row>
    <row r="32" spans="1:18" s="25" customFormat="1" x14ac:dyDescent="0.25">
      <c r="A32" s="25" t="s">
        <v>1</v>
      </c>
      <c r="R32" s="12"/>
    </row>
    <row r="33" spans="1:18" x14ac:dyDescent="0.25">
      <c r="A33" t="s">
        <v>3</v>
      </c>
      <c r="B33">
        <v>23.2</v>
      </c>
      <c r="C33">
        <v>25.5</v>
      </c>
      <c r="D33">
        <v>41</v>
      </c>
      <c r="E33">
        <v>36.799999999999997</v>
      </c>
      <c r="F33">
        <v>30.5</v>
      </c>
      <c r="G33">
        <v>31.7</v>
      </c>
      <c r="H33">
        <v>34.4</v>
      </c>
      <c r="I33">
        <v>31.6</v>
      </c>
      <c r="K33">
        <f t="shared" ref="K33" si="7">AVERAGE(B33:I33)</f>
        <v>31.837499999999999</v>
      </c>
      <c r="M33">
        <f t="shared" ref="M33" si="8">AVERAGE(B33:E33)</f>
        <v>31.625</v>
      </c>
      <c r="N33">
        <f t="shared" ref="N33" si="9">AVERAGE(F33:I33)</f>
        <v>32.049999999999997</v>
      </c>
      <c r="Q33">
        <v>6</v>
      </c>
      <c r="R33" s="1">
        <f t="shared" si="3"/>
        <v>25.837499999999999</v>
      </c>
    </row>
    <row r="34" spans="1:18" x14ac:dyDescent="0.25">
      <c r="A34" t="s">
        <v>13</v>
      </c>
      <c r="B34">
        <v>49</v>
      </c>
      <c r="C34">
        <v>32.799999999999997</v>
      </c>
      <c r="D34">
        <v>39.9</v>
      </c>
      <c r="E34">
        <v>63</v>
      </c>
      <c r="F34">
        <v>33.4</v>
      </c>
      <c r="G34">
        <v>64</v>
      </c>
      <c r="H34">
        <v>37.799999999999997</v>
      </c>
      <c r="I34">
        <v>33.4</v>
      </c>
      <c r="K34" s="1">
        <f t="shared" si="0"/>
        <v>44.162500000000001</v>
      </c>
      <c r="L34" s="1"/>
      <c r="M34" s="1">
        <f t="shared" si="1"/>
        <v>46.174999999999997</v>
      </c>
      <c r="N34" s="1">
        <f t="shared" si="2"/>
        <v>42.15</v>
      </c>
      <c r="Q34">
        <v>6.8</v>
      </c>
      <c r="R34" s="1">
        <f t="shared" si="3"/>
        <v>37.362500000000004</v>
      </c>
    </row>
    <row r="35" spans="1:18" x14ac:dyDescent="0.25">
      <c r="A35" t="s">
        <v>68</v>
      </c>
      <c r="B35">
        <v>21.2</v>
      </c>
      <c r="C35">
        <v>32.4</v>
      </c>
      <c r="D35">
        <v>37.299999999999997</v>
      </c>
      <c r="E35">
        <v>54</v>
      </c>
      <c r="F35">
        <v>50</v>
      </c>
      <c r="G35">
        <v>50</v>
      </c>
      <c r="H35">
        <v>28.9</v>
      </c>
      <c r="I35">
        <v>54</v>
      </c>
      <c r="K35">
        <f t="shared" si="0"/>
        <v>40.974999999999994</v>
      </c>
      <c r="M35">
        <f t="shared" si="1"/>
        <v>36.224999999999994</v>
      </c>
      <c r="N35">
        <f t="shared" si="2"/>
        <v>45.725000000000001</v>
      </c>
      <c r="Q35">
        <v>5.5</v>
      </c>
      <c r="R35" s="1">
        <f t="shared" si="3"/>
        <v>35.474999999999994</v>
      </c>
    </row>
    <row r="36" spans="1:18" x14ac:dyDescent="0.25">
      <c r="A36" t="s">
        <v>69</v>
      </c>
      <c r="B36">
        <v>32.1</v>
      </c>
      <c r="C36">
        <v>27.2</v>
      </c>
      <c r="D36">
        <v>16.3</v>
      </c>
      <c r="E36">
        <v>18.600000000000001</v>
      </c>
      <c r="F36">
        <v>38.6</v>
      </c>
      <c r="G36">
        <v>18.600000000000001</v>
      </c>
      <c r="H36">
        <v>19.100000000000001</v>
      </c>
      <c r="I36">
        <v>16.7</v>
      </c>
      <c r="K36">
        <f t="shared" si="0"/>
        <v>23.399999999999995</v>
      </c>
      <c r="M36">
        <f t="shared" si="1"/>
        <v>23.549999999999997</v>
      </c>
      <c r="N36">
        <f t="shared" si="2"/>
        <v>23.250000000000004</v>
      </c>
      <c r="Q36">
        <v>4</v>
      </c>
      <c r="R36" s="1">
        <f t="shared" si="3"/>
        <v>19.399999999999995</v>
      </c>
    </row>
    <row r="37" spans="1:18" x14ac:dyDescent="0.25">
      <c r="A37" t="s">
        <v>70</v>
      </c>
      <c r="B37">
        <v>6.5</v>
      </c>
      <c r="C37" s="4">
        <v>13.3</v>
      </c>
      <c r="D37" s="4">
        <v>11</v>
      </c>
      <c r="E37">
        <v>17.5</v>
      </c>
      <c r="F37">
        <v>7.4</v>
      </c>
      <c r="G37">
        <v>8.5</v>
      </c>
      <c r="H37">
        <v>8.1999999999999993</v>
      </c>
      <c r="I37">
        <v>13.8</v>
      </c>
      <c r="K37">
        <f t="shared" si="0"/>
        <v>10.774999999999999</v>
      </c>
      <c r="M37">
        <f t="shared" si="1"/>
        <v>12.074999999999999</v>
      </c>
      <c r="N37">
        <f t="shared" si="2"/>
        <v>9.4750000000000014</v>
      </c>
      <c r="Q37">
        <v>3.1</v>
      </c>
      <c r="R37" s="1">
        <f t="shared" si="3"/>
        <v>7.6749999999999989</v>
      </c>
    </row>
    <row r="38" spans="1:18" x14ac:dyDescent="0.25">
      <c r="A38" t="s">
        <v>74</v>
      </c>
      <c r="B38">
        <v>29.7</v>
      </c>
      <c r="C38">
        <v>11</v>
      </c>
      <c r="D38">
        <v>20.5</v>
      </c>
      <c r="E38">
        <v>30.8</v>
      </c>
      <c r="F38">
        <v>10.7</v>
      </c>
      <c r="G38">
        <v>20.3</v>
      </c>
      <c r="H38">
        <v>13.2</v>
      </c>
      <c r="I38">
        <v>14.8</v>
      </c>
      <c r="K38">
        <f t="shared" si="0"/>
        <v>18.875</v>
      </c>
      <c r="M38">
        <f t="shared" si="1"/>
        <v>23</v>
      </c>
      <c r="N38">
        <f t="shared" si="2"/>
        <v>14.75</v>
      </c>
      <c r="Q38">
        <v>3.3</v>
      </c>
      <c r="R38" s="1">
        <f t="shared" si="3"/>
        <v>15.574999999999999</v>
      </c>
    </row>
    <row r="39" spans="1:18" x14ac:dyDescent="0.25">
      <c r="A39" t="s">
        <v>79</v>
      </c>
      <c r="B39">
        <v>22.5</v>
      </c>
      <c r="C39">
        <v>16</v>
      </c>
      <c r="D39">
        <v>15.4</v>
      </c>
      <c r="E39">
        <v>17.8</v>
      </c>
      <c r="F39">
        <v>32.9</v>
      </c>
      <c r="G39">
        <v>19.899999999999999</v>
      </c>
      <c r="H39">
        <v>21</v>
      </c>
      <c r="I39">
        <v>25.9</v>
      </c>
      <c r="K39">
        <f t="shared" si="0"/>
        <v>21.425000000000001</v>
      </c>
      <c r="M39">
        <f t="shared" si="1"/>
        <v>17.925000000000001</v>
      </c>
      <c r="N39">
        <f t="shared" si="2"/>
        <v>24.924999999999997</v>
      </c>
      <c r="Q39">
        <v>3.7</v>
      </c>
      <c r="R39" s="1">
        <f t="shared" si="3"/>
        <v>17.725000000000001</v>
      </c>
    </row>
    <row r="40" spans="1:18" x14ac:dyDescent="0.25">
      <c r="A40" t="s">
        <v>80</v>
      </c>
      <c r="B40">
        <v>61</v>
      </c>
      <c r="C40">
        <v>49</v>
      </c>
      <c r="D40">
        <v>25.8</v>
      </c>
      <c r="E40">
        <v>61</v>
      </c>
      <c r="F40">
        <v>30.5</v>
      </c>
      <c r="G40">
        <v>45</v>
      </c>
      <c r="H40">
        <v>51</v>
      </c>
      <c r="I40">
        <v>46</v>
      </c>
      <c r="K40">
        <f t="shared" si="0"/>
        <v>46.162500000000001</v>
      </c>
      <c r="M40">
        <f t="shared" si="1"/>
        <v>49.2</v>
      </c>
      <c r="N40">
        <f t="shared" si="2"/>
        <v>43.125</v>
      </c>
      <c r="Q40">
        <v>4.5</v>
      </c>
      <c r="R40" s="1">
        <f t="shared" si="3"/>
        <v>41.662500000000001</v>
      </c>
    </row>
    <row r="41" spans="1:18" x14ac:dyDescent="0.25">
      <c r="A41" t="s">
        <v>86</v>
      </c>
      <c r="B41">
        <v>27.8</v>
      </c>
      <c r="C41">
        <v>20.3</v>
      </c>
      <c r="D41">
        <v>7.3</v>
      </c>
      <c r="E41">
        <v>9.9</v>
      </c>
      <c r="F41">
        <v>17.8</v>
      </c>
      <c r="G41">
        <v>18.8</v>
      </c>
      <c r="H41">
        <v>8.6</v>
      </c>
      <c r="I41">
        <v>18.899999999999999</v>
      </c>
      <c r="K41">
        <f t="shared" si="0"/>
        <v>16.174999999999997</v>
      </c>
      <c r="M41">
        <f t="shared" si="1"/>
        <v>16.324999999999999</v>
      </c>
      <c r="N41">
        <f t="shared" si="2"/>
        <v>16.024999999999999</v>
      </c>
      <c r="Q41">
        <v>3.2</v>
      </c>
      <c r="R41" s="1">
        <f t="shared" si="3"/>
        <v>12.974999999999998</v>
      </c>
    </row>
    <row r="42" spans="1:18" x14ac:dyDescent="0.25">
      <c r="A42" t="s">
        <v>92</v>
      </c>
      <c r="B42">
        <v>5.3</v>
      </c>
      <c r="C42">
        <v>7.6</v>
      </c>
      <c r="D42">
        <v>14</v>
      </c>
      <c r="E42">
        <v>10.8</v>
      </c>
      <c r="F42">
        <v>9</v>
      </c>
      <c r="G42">
        <v>6.6</v>
      </c>
      <c r="H42">
        <v>10.8</v>
      </c>
      <c r="I42">
        <v>7.5</v>
      </c>
      <c r="K42">
        <f t="shared" si="0"/>
        <v>8.9500000000000011</v>
      </c>
      <c r="M42">
        <f t="shared" si="1"/>
        <v>9.4250000000000007</v>
      </c>
      <c r="N42">
        <f t="shared" si="2"/>
        <v>8.4749999999999996</v>
      </c>
      <c r="Q42">
        <v>2.9</v>
      </c>
      <c r="R42" s="1">
        <f t="shared" si="3"/>
        <v>6.0500000000000007</v>
      </c>
    </row>
    <row r="43" spans="1:18" x14ac:dyDescent="0.25">
      <c r="A43" t="s">
        <v>93</v>
      </c>
      <c r="B43">
        <v>19.399999999999999</v>
      </c>
      <c r="C43">
        <v>25.3</v>
      </c>
      <c r="D43">
        <v>11.4</v>
      </c>
      <c r="E43">
        <v>26.6</v>
      </c>
      <c r="F43">
        <v>13.4</v>
      </c>
      <c r="G43">
        <v>17.2</v>
      </c>
      <c r="H43">
        <v>11.4</v>
      </c>
      <c r="I43">
        <v>19.7</v>
      </c>
      <c r="K43">
        <f t="shared" si="0"/>
        <v>18.05</v>
      </c>
      <c r="M43">
        <f t="shared" si="1"/>
        <v>20.675000000000001</v>
      </c>
      <c r="N43">
        <f t="shared" si="2"/>
        <v>15.425000000000001</v>
      </c>
      <c r="Q43">
        <v>3.9</v>
      </c>
      <c r="R43" s="1">
        <f t="shared" si="3"/>
        <v>14.15</v>
      </c>
    </row>
    <row r="44" spans="1:18" x14ac:dyDescent="0.25">
      <c r="A44" t="s">
        <v>110</v>
      </c>
      <c r="B44">
        <v>22</v>
      </c>
      <c r="C44">
        <v>20.8</v>
      </c>
      <c r="D44">
        <v>24.5</v>
      </c>
      <c r="E44">
        <v>36.4</v>
      </c>
      <c r="F44">
        <v>19.7</v>
      </c>
      <c r="G44">
        <v>34</v>
      </c>
      <c r="H44">
        <v>19.8</v>
      </c>
      <c r="I44">
        <v>38.5</v>
      </c>
      <c r="K44">
        <f t="shared" si="0"/>
        <v>26.962499999999999</v>
      </c>
      <c r="M44">
        <f t="shared" si="1"/>
        <v>25.924999999999997</v>
      </c>
      <c r="N44">
        <f t="shared" si="2"/>
        <v>28</v>
      </c>
      <c r="Q44">
        <v>4.5</v>
      </c>
      <c r="R44" s="1">
        <f t="shared" si="3"/>
        <v>22.462499999999999</v>
      </c>
    </row>
    <row r="45" spans="1:18" x14ac:dyDescent="0.25">
      <c r="A45" t="s">
        <v>120</v>
      </c>
      <c r="B45">
        <v>34.200000000000003</v>
      </c>
      <c r="C45">
        <v>25.5</v>
      </c>
      <c r="D45">
        <v>17.899999999999999</v>
      </c>
      <c r="E45" s="7"/>
      <c r="F45">
        <v>23.1</v>
      </c>
      <c r="G45">
        <v>41</v>
      </c>
      <c r="H45">
        <v>32.200000000000003</v>
      </c>
      <c r="I45">
        <v>19</v>
      </c>
      <c r="K45">
        <f t="shared" si="0"/>
        <v>27.557142857142853</v>
      </c>
      <c r="M45">
        <f t="shared" si="1"/>
        <v>25.866666666666664</v>
      </c>
      <c r="N45">
        <f t="shared" si="2"/>
        <v>28.824999999999999</v>
      </c>
      <c r="Q45">
        <v>4.4000000000000004</v>
      </c>
      <c r="R45" s="1">
        <f t="shared" si="3"/>
        <v>23.157142857142851</v>
      </c>
    </row>
    <row r="46" spans="1:18" x14ac:dyDescent="0.25">
      <c r="A46" t="s">
        <v>125</v>
      </c>
      <c r="B46">
        <v>10.7</v>
      </c>
      <c r="C46">
        <v>13.6</v>
      </c>
      <c r="D46">
        <v>11.4</v>
      </c>
      <c r="E46">
        <v>14</v>
      </c>
      <c r="F46">
        <v>5</v>
      </c>
      <c r="G46">
        <v>19.600000000000001</v>
      </c>
      <c r="H46">
        <v>21.3</v>
      </c>
      <c r="I46">
        <v>12.1</v>
      </c>
      <c r="K46">
        <f t="shared" si="0"/>
        <v>13.462499999999999</v>
      </c>
      <c r="M46">
        <f t="shared" si="1"/>
        <v>12.424999999999999</v>
      </c>
      <c r="N46">
        <f t="shared" si="2"/>
        <v>14.500000000000002</v>
      </c>
      <c r="Q46">
        <v>3.1</v>
      </c>
      <c r="R46" s="1">
        <f t="shared" si="3"/>
        <v>10.362499999999999</v>
      </c>
    </row>
    <row r="47" spans="1:18" x14ac:dyDescent="0.25">
      <c r="A47" t="s">
        <v>130</v>
      </c>
      <c r="B47">
        <v>21.6</v>
      </c>
      <c r="C47">
        <v>31.3</v>
      </c>
      <c r="D47">
        <v>29.6</v>
      </c>
      <c r="E47">
        <v>34.799999999999997</v>
      </c>
      <c r="F47">
        <v>40</v>
      </c>
      <c r="G47">
        <v>33.799999999999997</v>
      </c>
      <c r="H47">
        <v>35.9</v>
      </c>
      <c r="I47">
        <v>21.5</v>
      </c>
      <c r="K47">
        <f t="shared" si="0"/>
        <v>31.062500000000004</v>
      </c>
      <c r="M47">
        <f t="shared" si="1"/>
        <v>29.324999999999999</v>
      </c>
      <c r="N47">
        <f t="shared" si="2"/>
        <v>32.799999999999997</v>
      </c>
      <c r="Q47">
        <v>3.3</v>
      </c>
      <c r="R47" s="1">
        <f t="shared" si="3"/>
        <v>27.762500000000003</v>
      </c>
    </row>
    <row r="48" spans="1:18" x14ac:dyDescent="0.25">
      <c r="A48" t="s">
        <v>145</v>
      </c>
      <c r="B48">
        <v>27.8</v>
      </c>
      <c r="C48">
        <v>6.5</v>
      </c>
      <c r="D48">
        <v>22.4</v>
      </c>
      <c r="E48">
        <v>21.9</v>
      </c>
      <c r="F48">
        <v>30.2</v>
      </c>
      <c r="G48">
        <v>20.100000000000001</v>
      </c>
      <c r="H48">
        <v>10.4</v>
      </c>
      <c r="I48">
        <v>14.3</v>
      </c>
      <c r="K48">
        <f t="shared" si="0"/>
        <v>19.200000000000003</v>
      </c>
      <c r="M48">
        <f t="shared" si="1"/>
        <v>19.649999999999999</v>
      </c>
      <c r="N48">
        <f t="shared" si="2"/>
        <v>18.75</v>
      </c>
      <c r="Q48">
        <v>3.7</v>
      </c>
      <c r="R48" s="1">
        <f t="shared" si="3"/>
        <v>15.500000000000004</v>
      </c>
    </row>
    <row r="49" spans="1:18" x14ac:dyDescent="0.25">
      <c r="A49" t="s">
        <v>144</v>
      </c>
      <c r="B49">
        <v>23.1</v>
      </c>
      <c r="C49">
        <v>24.2</v>
      </c>
      <c r="D49">
        <v>23.2</v>
      </c>
      <c r="E49">
        <v>21.7</v>
      </c>
      <c r="F49">
        <v>26.4</v>
      </c>
      <c r="G49">
        <v>26.9</v>
      </c>
      <c r="H49">
        <v>19.8</v>
      </c>
      <c r="I49">
        <v>27.7</v>
      </c>
      <c r="K49">
        <f t="shared" si="0"/>
        <v>24.125</v>
      </c>
      <c r="M49">
        <f t="shared" si="1"/>
        <v>23.05</v>
      </c>
      <c r="N49">
        <f t="shared" si="2"/>
        <v>25.2</v>
      </c>
      <c r="Q49">
        <v>4.5999999999999996</v>
      </c>
      <c r="R49" s="1">
        <f t="shared" si="3"/>
        <v>19.524999999999999</v>
      </c>
    </row>
    <row r="50" spans="1:18" x14ac:dyDescent="0.25">
      <c r="A50" t="s">
        <v>132</v>
      </c>
      <c r="B50">
        <v>13</v>
      </c>
      <c r="C50">
        <v>13.8</v>
      </c>
      <c r="D50">
        <v>26.3</v>
      </c>
      <c r="E50">
        <v>31</v>
      </c>
      <c r="F50">
        <v>17</v>
      </c>
      <c r="G50">
        <v>31.8</v>
      </c>
      <c r="H50">
        <v>23.7</v>
      </c>
      <c r="I50">
        <v>22.3</v>
      </c>
      <c r="K50">
        <f t="shared" si="0"/>
        <v>22.362500000000001</v>
      </c>
      <c r="M50">
        <f t="shared" si="1"/>
        <v>21.024999999999999</v>
      </c>
      <c r="N50">
        <f t="shared" si="2"/>
        <v>23.7</v>
      </c>
      <c r="Q50">
        <v>3.8</v>
      </c>
      <c r="R50" s="1">
        <f t="shared" si="3"/>
        <v>18.5625</v>
      </c>
    </row>
    <row r="51" spans="1:18" x14ac:dyDescent="0.25">
      <c r="A51" t="s">
        <v>146</v>
      </c>
      <c r="B51">
        <v>23.6</v>
      </c>
      <c r="C51">
        <v>16</v>
      </c>
      <c r="D51">
        <v>24.1</v>
      </c>
      <c r="E51">
        <v>38</v>
      </c>
      <c r="F51">
        <v>31.6</v>
      </c>
      <c r="G51">
        <v>26.7</v>
      </c>
      <c r="H51">
        <v>18.5</v>
      </c>
      <c r="I51">
        <v>23.1</v>
      </c>
      <c r="K51">
        <f t="shared" si="0"/>
        <v>25.2</v>
      </c>
      <c r="M51">
        <f t="shared" si="1"/>
        <v>25.425000000000001</v>
      </c>
      <c r="N51">
        <f t="shared" si="2"/>
        <v>24.975000000000001</v>
      </c>
      <c r="Q51">
        <v>4</v>
      </c>
      <c r="R51" s="1">
        <f t="shared" si="3"/>
        <v>21.2</v>
      </c>
    </row>
    <row r="52" spans="1:18" x14ac:dyDescent="0.25">
      <c r="A52" t="s">
        <v>147</v>
      </c>
      <c r="B52">
        <v>14.8</v>
      </c>
      <c r="C52">
        <v>19.7</v>
      </c>
      <c r="D52">
        <v>11.5</v>
      </c>
      <c r="E52">
        <v>20</v>
      </c>
      <c r="F52">
        <v>14.1</v>
      </c>
      <c r="G52">
        <v>17</v>
      </c>
      <c r="H52">
        <v>18.399999999999999</v>
      </c>
      <c r="I52">
        <v>12.8</v>
      </c>
      <c r="K52">
        <f t="shared" si="0"/>
        <v>16.037500000000001</v>
      </c>
      <c r="M52">
        <f t="shared" si="1"/>
        <v>16.5</v>
      </c>
      <c r="N52">
        <f t="shared" si="2"/>
        <v>15.574999999999999</v>
      </c>
      <c r="Q52">
        <v>3</v>
      </c>
      <c r="R52" s="1">
        <f t="shared" si="3"/>
        <v>13.037500000000001</v>
      </c>
    </row>
    <row r="53" spans="1:18" x14ac:dyDescent="0.25">
      <c r="A53" t="s">
        <v>155</v>
      </c>
      <c r="B53">
        <v>23.4</v>
      </c>
      <c r="C53">
        <v>63</v>
      </c>
      <c r="D53">
        <v>18.8</v>
      </c>
      <c r="E53" s="7"/>
      <c r="F53">
        <v>18</v>
      </c>
      <c r="G53">
        <v>13.4</v>
      </c>
      <c r="H53">
        <v>12.7</v>
      </c>
      <c r="I53">
        <v>7</v>
      </c>
      <c r="K53">
        <f t="shared" si="0"/>
        <v>22.328571428571426</v>
      </c>
      <c r="M53">
        <f t="shared" si="1"/>
        <v>35.06666666666667</v>
      </c>
      <c r="N53">
        <f t="shared" si="2"/>
        <v>12.774999999999999</v>
      </c>
      <c r="Q53">
        <v>5.0999999999999996</v>
      </c>
      <c r="R53" s="1">
        <f t="shared" si="3"/>
        <v>17.228571428571428</v>
      </c>
    </row>
    <row r="54" spans="1:18" x14ac:dyDescent="0.25">
      <c r="A54" t="s">
        <v>158</v>
      </c>
      <c r="B54">
        <v>11.9</v>
      </c>
      <c r="C54">
        <v>14.7</v>
      </c>
      <c r="D54">
        <v>27.3</v>
      </c>
      <c r="E54">
        <v>16.3</v>
      </c>
      <c r="F54">
        <v>15.3</v>
      </c>
      <c r="G54">
        <v>15</v>
      </c>
      <c r="H54">
        <v>21.6</v>
      </c>
      <c r="I54">
        <v>8.1</v>
      </c>
      <c r="K54">
        <f t="shared" si="0"/>
        <v>16.274999999999999</v>
      </c>
      <c r="M54">
        <f t="shared" si="1"/>
        <v>17.55</v>
      </c>
      <c r="N54">
        <f t="shared" si="2"/>
        <v>15.000000000000002</v>
      </c>
      <c r="Q54">
        <v>3.2</v>
      </c>
      <c r="R54" s="1">
        <f t="shared" si="3"/>
        <v>13.074999999999999</v>
      </c>
    </row>
    <row r="55" spans="1:18" x14ac:dyDescent="0.25">
      <c r="A55" t="s">
        <v>162</v>
      </c>
      <c r="B55">
        <v>25.9</v>
      </c>
      <c r="C55">
        <v>22.9</v>
      </c>
      <c r="D55">
        <v>22.2</v>
      </c>
      <c r="E55">
        <v>20.7</v>
      </c>
      <c r="F55">
        <v>17.7</v>
      </c>
      <c r="G55">
        <v>19.100000000000001</v>
      </c>
      <c r="H55">
        <v>36.799999999999997</v>
      </c>
      <c r="I55">
        <v>19.5</v>
      </c>
      <c r="K55">
        <f t="shared" si="0"/>
        <v>23.1</v>
      </c>
      <c r="M55">
        <f t="shared" si="1"/>
        <v>22.925000000000001</v>
      </c>
      <c r="N55">
        <f t="shared" si="2"/>
        <v>23.274999999999999</v>
      </c>
      <c r="Q55">
        <v>4.0999999999999996</v>
      </c>
      <c r="R55" s="1">
        <f t="shared" si="3"/>
        <v>19</v>
      </c>
    </row>
    <row r="56" spans="1:18" x14ac:dyDescent="0.25">
      <c r="A56" t="s">
        <v>160</v>
      </c>
      <c r="B56">
        <v>63</v>
      </c>
      <c r="C56">
        <v>31.4</v>
      </c>
      <c r="D56">
        <v>62</v>
      </c>
      <c r="E56">
        <v>30.7</v>
      </c>
      <c r="F56">
        <v>21.8</v>
      </c>
      <c r="G56">
        <v>22.6</v>
      </c>
      <c r="H56">
        <v>26.7</v>
      </c>
      <c r="I56">
        <v>41</v>
      </c>
      <c r="K56">
        <f t="shared" ref="K56:K61" si="10">AVERAGE(B56:I56)</f>
        <v>37.4</v>
      </c>
      <c r="M56">
        <f t="shared" ref="M56:M61" si="11">AVERAGE(B56:E56)</f>
        <v>46.774999999999999</v>
      </c>
      <c r="N56">
        <f t="shared" ref="N56:N61" si="12">AVERAGE(F56:I56)</f>
        <v>28.025000000000002</v>
      </c>
      <c r="Q56">
        <v>5.3</v>
      </c>
      <c r="R56" s="1">
        <f t="shared" ref="R56:R61" si="13">K56-Q56</f>
        <v>32.1</v>
      </c>
    </row>
    <row r="57" spans="1:18" x14ac:dyDescent="0.25">
      <c r="A57" t="s">
        <v>173</v>
      </c>
      <c r="B57">
        <v>39</v>
      </c>
      <c r="C57">
        <v>15.2</v>
      </c>
      <c r="D57">
        <v>39.9</v>
      </c>
      <c r="E57">
        <v>55</v>
      </c>
      <c r="F57">
        <v>44</v>
      </c>
      <c r="G57">
        <v>32.4</v>
      </c>
      <c r="H57">
        <v>26.4</v>
      </c>
      <c r="I57">
        <v>22.7</v>
      </c>
      <c r="K57">
        <f t="shared" si="10"/>
        <v>34.325000000000003</v>
      </c>
      <c r="M57">
        <f t="shared" si="11"/>
        <v>37.274999999999999</v>
      </c>
      <c r="N57">
        <f t="shared" si="12"/>
        <v>31.375000000000004</v>
      </c>
      <c r="Q57">
        <v>3.1</v>
      </c>
      <c r="R57" s="1">
        <f t="shared" si="13"/>
        <v>31.225000000000001</v>
      </c>
    </row>
    <row r="58" spans="1:18" x14ac:dyDescent="0.25">
      <c r="A58" t="s">
        <v>174</v>
      </c>
      <c r="B58">
        <v>42</v>
      </c>
      <c r="C58">
        <v>47</v>
      </c>
      <c r="D58">
        <v>42</v>
      </c>
      <c r="E58">
        <v>54</v>
      </c>
      <c r="F58">
        <v>27.8</v>
      </c>
      <c r="G58">
        <v>35.5</v>
      </c>
      <c r="H58">
        <v>30</v>
      </c>
      <c r="I58">
        <v>43</v>
      </c>
      <c r="K58">
        <f t="shared" si="10"/>
        <v>40.162500000000001</v>
      </c>
      <c r="M58">
        <f t="shared" si="11"/>
        <v>46.25</v>
      </c>
      <c r="N58">
        <f t="shared" si="12"/>
        <v>34.075000000000003</v>
      </c>
      <c r="Q58">
        <v>4</v>
      </c>
      <c r="R58" s="1">
        <f t="shared" si="13"/>
        <v>36.162500000000001</v>
      </c>
    </row>
    <row r="59" spans="1:18" x14ac:dyDescent="0.25">
      <c r="A59" t="s">
        <v>175</v>
      </c>
      <c r="B59">
        <v>15.4</v>
      </c>
      <c r="C59">
        <v>6.4</v>
      </c>
      <c r="D59">
        <v>9.4</v>
      </c>
      <c r="E59">
        <v>16</v>
      </c>
      <c r="F59">
        <v>9.1</v>
      </c>
      <c r="G59">
        <v>16.600000000000001</v>
      </c>
      <c r="H59">
        <v>12.1</v>
      </c>
      <c r="I59">
        <v>17.600000000000001</v>
      </c>
      <c r="K59">
        <f t="shared" si="10"/>
        <v>12.824999999999999</v>
      </c>
      <c r="M59">
        <f t="shared" si="11"/>
        <v>11.8</v>
      </c>
      <c r="N59">
        <f t="shared" si="12"/>
        <v>13.850000000000001</v>
      </c>
      <c r="Q59">
        <v>3.5</v>
      </c>
      <c r="R59" s="1">
        <f t="shared" si="13"/>
        <v>9.3249999999999993</v>
      </c>
    </row>
    <row r="60" spans="1:18" x14ac:dyDescent="0.25">
      <c r="A60" t="s">
        <v>187</v>
      </c>
      <c r="B60">
        <v>18.3</v>
      </c>
      <c r="C60">
        <v>23.2</v>
      </c>
      <c r="D60">
        <v>16.899999999999999</v>
      </c>
      <c r="E60">
        <v>22.6</v>
      </c>
      <c r="F60">
        <v>25.7</v>
      </c>
      <c r="G60">
        <v>21.1</v>
      </c>
      <c r="H60">
        <v>21.1</v>
      </c>
      <c r="I60">
        <v>22.6</v>
      </c>
      <c r="K60">
        <f t="shared" si="10"/>
        <v>21.4375</v>
      </c>
      <c r="M60">
        <f t="shared" si="11"/>
        <v>20.25</v>
      </c>
      <c r="N60">
        <f t="shared" si="12"/>
        <v>22.625</v>
      </c>
      <c r="Q60">
        <v>3.3</v>
      </c>
      <c r="R60" s="1">
        <f t="shared" si="13"/>
        <v>18.137499999999999</v>
      </c>
    </row>
    <row r="61" spans="1:18" x14ac:dyDescent="0.25">
      <c r="A61" t="s">
        <v>186</v>
      </c>
      <c r="B61">
        <v>41</v>
      </c>
      <c r="C61">
        <v>16.2</v>
      </c>
      <c r="D61">
        <v>13.6</v>
      </c>
      <c r="E61">
        <v>25.8</v>
      </c>
      <c r="F61">
        <v>21.2</v>
      </c>
      <c r="G61">
        <v>32.700000000000003</v>
      </c>
      <c r="H61">
        <v>27</v>
      </c>
      <c r="I61">
        <v>24.4</v>
      </c>
      <c r="K61">
        <f t="shared" si="10"/>
        <v>25.237500000000001</v>
      </c>
      <c r="M61">
        <f t="shared" si="11"/>
        <v>24.15</v>
      </c>
      <c r="N61">
        <f t="shared" si="12"/>
        <v>26.325000000000003</v>
      </c>
      <c r="Q61">
        <v>4</v>
      </c>
      <c r="R61" s="1">
        <f t="shared" si="13"/>
        <v>21.237500000000001</v>
      </c>
    </row>
    <row r="62" spans="1:18" x14ac:dyDescent="0.25">
      <c r="R62" s="1"/>
    </row>
    <row r="63" spans="1:18" x14ac:dyDescent="0.25">
      <c r="J63" s="25"/>
      <c r="K63" s="37"/>
      <c r="L63" s="37"/>
      <c r="M63" s="37"/>
      <c r="N63" s="37"/>
      <c r="O63" s="37"/>
      <c r="P63" s="37"/>
      <c r="Q63" s="37"/>
      <c r="R63" s="37"/>
    </row>
    <row r="64" spans="1:18" x14ac:dyDescent="0.25">
      <c r="R64" s="1"/>
    </row>
    <row r="65" spans="10:18" x14ac:dyDescent="0.25">
      <c r="J65" s="25"/>
      <c r="K65" s="12"/>
      <c r="L65" s="12"/>
      <c r="M65" s="12"/>
      <c r="N65" s="12"/>
      <c r="O65" s="12"/>
      <c r="P65" s="12"/>
      <c r="Q65" s="12"/>
      <c r="R65" s="12"/>
    </row>
    <row r="66" spans="10:18" x14ac:dyDescent="0.25">
      <c r="J66" s="25"/>
      <c r="K66" s="12"/>
      <c r="L66" s="12"/>
      <c r="M66" s="12"/>
      <c r="N66" s="12"/>
      <c r="O66" s="12"/>
      <c r="P66" s="12"/>
      <c r="Q66" s="12"/>
      <c r="R66" s="12"/>
    </row>
    <row r="67" spans="10:18" x14ac:dyDescent="0.25">
      <c r="K67" s="12"/>
      <c r="L67" s="12"/>
      <c r="M67" s="12"/>
      <c r="N67" s="12"/>
      <c r="O67" s="12"/>
      <c r="P67" s="12"/>
      <c r="Q67" s="12"/>
      <c r="R67" s="12"/>
    </row>
    <row r="68" spans="10:18" x14ac:dyDescent="0.25">
      <c r="J68" s="25"/>
      <c r="K68" s="12"/>
      <c r="L68" s="12"/>
      <c r="M68" s="12"/>
      <c r="N68" s="12"/>
      <c r="O68" s="12"/>
      <c r="P68" s="12"/>
      <c r="Q68" s="12"/>
      <c r="R68" s="12"/>
    </row>
    <row r="69" spans="10:18" x14ac:dyDescent="0.25">
      <c r="J69" s="25"/>
      <c r="K69" s="12"/>
      <c r="L69" s="12"/>
      <c r="M69" s="12"/>
      <c r="N69" s="12"/>
      <c r="O69" s="12"/>
      <c r="P69" s="12"/>
      <c r="Q69" s="12"/>
      <c r="R69" s="12"/>
    </row>
    <row r="70" spans="10:18" x14ac:dyDescent="0.25">
      <c r="R70" s="1"/>
    </row>
    <row r="71" spans="10:18" x14ac:dyDescent="0.25">
      <c r="R71" s="1"/>
    </row>
    <row r="72" spans="10:18" x14ac:dyDescent="0.25">
      <c r="R72" s="1"/>
    </row>
    <row r="73" spans="10:18" x14ac:dyDescent="0.25">
      <c r="R73" s="1"/>
    </row>
    <row r="74" spans="10:18" x14ac:dyDescent="0.25">
      <c r="R74" s="1"/>
    </row>
    <row r="75" spans="10:18" x14ac:dyDescent="0.25">
      <c r="R75" s="1"/>
    </row>
    <row r="76" spans="10:18" x14ac:dyDescent="0.25">
      <c r="R76" s="1"/>
    </row>
    <row r="77" spans="10:18" x14ac:dyDescent="0.25">
      <c r="R77" s="1"/>
    </row>
    <row r="78" spans="10:18" x14ac:dyDescent="0.25">
      <c r="R78" s="1"/>
    </row>
    <row r="79" spans="10:18" x14ac:dyDescent="0.25">
      <c r="R79" s="1"/>
    </row>
    <row r="80" spans="10:18" x14ac:dyDescent="0.25">
      <c r="R80" s="1"/>
    </row>
    <row r="81" spans="18:18" x14ac:dyDescent="0.25">
      <c r="R81" s="1"/>
    </row>
    <row r="82" spans="18:18" x14ac:dyDescent="0.25">
      <c r="R82" s="1"/>
    </row>
    <row r="83" spans="18:18" x14ac:dyDescent="0.25">
      <c r="R83" s="1"/>
    </row>
    <row r="84" spans="18:18" x14ac:dyDescent="0.25">
      <c r="R84" s="1"/>
    </row>
    <row r="85" spans="18:18" x14ac:dyDescent="0.25">
      <c r="R85" s="1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R69"/>
  <sheetViews>
    <sheetView zoomScale="85" zoomScaleNormal="85" workbookViewId="0">
      <selection activeCell="U27" sqref="U27"/>
    </sheetView>
  </sheetViews>
  <sheetFormatPr defaultRowHeight="15" x14ac:dyDescent="0.25"/>
  <cols>
    <col min="22" max="22" width="15.7109375" bestFit="1" customWidth="1"/>
  </cols>
  <sheetData>
    <row r="1" spans="1:18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Q1" s="25" t="s">
        <v>245</v>
      </c>
      <c r="R1" s="25" t="s">
        <v>246</v>
      </c>
    </row>
    <row r="2" spans="1:18" x14ac:dyDescent="0.25">
      <c r="A2" t="s">
        <v>3</v>
      </c>
      <c r="B2">
        <v>142</v>
      </c>
      <c r="C2">
        <v>157</v>
      </c>
      <c r="D2">
        <v>198</v>
      </c>
      <c r="E2">
        <v>142</v>
      </c>
      <c r="F2">
        <v>153</v>
      </c>
      <c r="G2">
        <v>182</v>
      </c>
      <c r="H2">
        <v>147</v>
      </c>
      <c r="I2">
        <v>288</v>
      </c>
      <c r="K2">
        <f>AVERAGE(B2:I2)</f>
        <v>176.125</v>
      </c>
      <c r="M2">
        <f>AVERAGE(B2:E2)</f>
        <v>159.75</v>
      </c>
      <c r="N2">
        <f>AVERAGE(F2:I2)</f>
        <v>192.5</v>
      </c>
      <c r="Q2">
        <v>22</v>
      </c>
      <c r="R2">
        <f>K2-Q2</f>
        <v>154.125</v>
      </c>
    </row>
    <row r="3" spans="1:18" x14ac:dyDescent="0.25">
      <c r="A3" t="s">
        <v>13</v>
      </c>
      <c r="B3">
        <v>59</v>
      </c>
      <c r="C3">
        <v>139</v>
      </c>
      <c r="D3">
        <v>126</v>
      </c>
      <c r="E3">
        <v>253</v>
      </c>
      <c r="F3">
        <v>155</v>
      </c>
      <c r="G3">
        <v>142</v>
      </c>
      <c r="H3">
        <v>134</v>
      </c>
      <c r="I3">
        <v>113</v>
      </c>
      <c r="K3">
        <f t="shared" ref="K3:K55" si="0">AVERAGE(B3:I3)</f>
        <v>140.125</v>
      </c>
      <c r="M3">
        <f t="shared" ref="M3:M55" si="1">AVERAGE(B3:E3)</f>
        <v>144.25</v>
      </c>
      <c r="N3">
        <f t="shared" ref="N3:N55" si="2">AVERAGE(F3:I3)</f>
        <v>136</v>
      </c>
      <c r="Q3">
        <v>1.4</v>
      </c>
      <c r="R3">
        <f t="shared" ref="R3:R55" si="3">K3-Q3</f>
        <v>138.72499999999999</v>
      </c>
    </row>
    <row r="4" spans="1:18" x14ac:dyDescent="0.25">
      <c r="A4" t="s">
        <v>68</v>
      </c>
      <c r="B4">
        <v>81</v>
      </c>
      <c r="C4" s="4">
        <v>43</v>
      </c>
      <c r="D4" s="4">
        <v>71</v>
      </c>
      <c r="E4" s="4">
        <v>66</v>
      </c>
      <c r="F4">
        <v>45</v>
      </c>
      <c r="G4">
        <v>60</v>
      </c>
      <c r="H4">
        <v>49</v>
      </c>
      <c r="I4">
        <v>31.5</v>
      </c>
      <c r="K4">
        <f t="shared" si="0"/>
        <v>55.8125</v>
      </c>
      <c r="M4">
        <f t="shared" si="1"/>
        <v>65.25</v>
      </c>
      <c r="N4">
        <f t="shared" si="2"/>
        <v>46.375</v>
      </c>
      <c r="Q4">
        <v>1</v>
      </c>
      <c r="R4">
        <f t="shared" si="3"/>
        <v>54.8125</v>
      </c>
    </row>
    <row r="5" spans="1:18" x14ac:dyDescent="0.25">
      <c r="A5" t="s">
        <v>69</v>
      </c>
      <c r="B5">
        <v>16.600000000000001</v>
      </c>
      <c r="C5" s="4">
        <v>24.7</v>
      </c>
      <c r="D5" s="4">
        <v>17.399999999999999</v>
      </c>
      <c r="E5" s="4">
        <v>75</v>
      </c>
      <c r="F5" s="4">
        <v>15.2</v>
      </c>
      <c r="G5" s="4">
        <v>28.1</v>
      </c>
      <c r="H5" s="4">
        <v>18.899999999999999</v>
      </c>
      <c r="I5" s="4">
        <v>22.4</v>
      </c>
      <c r="K5">
        <f t="shared" si="0"/>
        <v>27.287499999999998</v>
      </c>
      <c r="M5">
        <f t="shared" si="1"/>
        <v>33.424999999999997</v>
      </c>
      <c r="N5">
        <f t="shared" si="2"/>
        <v>21.15</v>
      </c>
      <c r="Q5">
        <v>10.6</v>
      </c>
      <c r="R5">
        <f t="shared" si="3"/>
        <v>16.6875</v>
      </c>
    </row>
    <row r="6" spans="1:18" x14ac:dyDescent="0.25">
      <c r="A6" t="s">
        <v>70</v>
      </c>
      <c r="B6">
        <v>113</v>
      </c>
      <c r="C6" s="4">
        <v>128</v>
      </c>
      <c r="D6" s="4">
        <v>93</v>
      </c>
      <c r="E6" s="4">
        <v>90</v>
      </c>
      <c r="F6" s="4">
        <v>103</v>
      </c>
      <c r="G6" s="4">
        <v>192</v>
      </c>
      <c r="H6" s="4">
        <v>72</v>
      </c>
      <c r="I6" s="4">
        <v>75</v>
      </c>
      <c r="K6">
        <f t="shared" si="0"/>
        <v>108.25</v>
      </c>
      <c r="M6">
        <f t="shared" si="1"/>
        <v>106</v>
      </c>
      <c r="N6">
        <f t="shared" si="2"/>
        <v>110.5</v>
      </c>
      <c r="Q6">
        <v>10.3</v>
      </c>
      <c r="R6">
        <f t="shared" si="3"/>
        <v>97.95</v>
      </c>
    </row>
    <row r="7" spans="1:18" x14ac:dyDescent="0.25">
      <c r="A7" t="s">
        <v>74</v>
      </c>
      <c r="B7">
        <v>35.700000000000003</v>
      </c>
      <c r="C7">
        <v>94</v>
      </c>
      <c r="D7">
        <v>73</v>
      </c>
      <c r="E7">
        <v>88</v>
      </c>
      <c r="F7">
        <v>85</v>
      </c>
      <c r="G7">
        <v>60</v>
      </c>
      <c r="H7">
        <v>64</v>
      </c>
      <c r="I7">
        <v>48</v>
      </c>
      <c r="K7">
        <f t="shared" si="0"/>
        <v>68.462500000000006</v>
      </c>
      <c r="M7">
        <f t="shared" si="1"/>
        <v>72.674999999999997</v>
      </c>
      <c r="N7">
        <f t="shared" si="2"/>
        <v>64.25</v>
      </c>
      <c r="Q7">
        <v>10.9</v>
      </c>
      <c r="R7">
        <f t="shared" si="3"/>
        <v>57.562500000000007</v>
      </c>
    </row>
    <row r="8" spans="1:18" x14ac:dyDescent="0.25">
      <c r="A8" t="s">
        <v>79</v>
      </c>
      <c r="B8">
        <v>37.799999999999997</v>
      </c>
      <c r="C8">
        <v>36.700000000000003</v>
      </c>
      <c r="D8">
        <v>90</v>
      </c>
      <c r="E8">
        <v>53</v>
      </c>
      <c r="F8">
        <v>93</v>
      </c>
      <c r="G8">
        <v>65</v>
      </c>
      <c r="H8">
        <v>67</v>
      </c>
      <c r="I8">
        <v>83</v>
      </c>
      <c r="K8">
        <f t="shared" si="0"/>
        <v>65.6875</v>
      </c>
      <c r="M8">
        <f t="shared" si="1"/>
        <v>54.375</v>
      </c>
      <c r="N8">
        <f t="shared" si="2"/>
        <v>77</v>
      </c>
      <c r="Q8">
        <v>9.3000000000000007</v>
      </c>
      <c r="R8">
        <f t="shared" si="3"/>
        <v>56.387500000000003</v>
      </c>
    </row>
    <row r="9" spans="1:18" x14ac:dyDescent="0.25">
      <c r="A9" t="s">
        <v>80</v>
      </c>
      <c r="B9">
        <v>96</v>
      </c>
      <c r="C9">
        <v>331</v>
      </c>
      <c r="D9">
        <v>124</v>
      </c>
      <c r="E9">
        <v>148</v>
      </c>
      <c r="F9">
        <v>195</v>
      </c>
      <c r="G9">
        <v>67</v>
      </c>
      <c r="H9">
        <v>118</v>
      </c>
      <c r="I9">
        <v>130</v>
      </c>
      <c r="K9">
        <f t="shared" si="0"/>
        <v>151.125</v>
      </c>
      <c r="M9">
        <f t="shared" si="1"/>
        <v>174.75</v>
      </c>
      <c r="N9">
        <f t="shared" si="2"/>
        <v>127.5</v>
      </c>
      <c r="Q9">
        <v>16.600000000000001</v>
      </c>
      <c r="R9">
        <f t="shared" si="3"/>
        <v>134.52500000000001</v>
      </c>
    </row>
    <row r="10" spans="1:18" x14ac:dyDescent="0.25">
      <c r="A10" t="s">
        <v>86</v>
      </c>
      <c r="B10">
        <v>84</v>
      </c>
      <c r="C10">
        <v>83</v>
      </c>
      <c r="D10">
        <v>183</v>
      </c>
      <c r="E10">
        <v>116</v>
      </c>
      <c r="F10">
        <v>51</v>
      </c>
      <c r="G10">
        <v>116</v>
      </c>
      <c r="H10">
        <v>23</v>
      </c>
      <c r="I10">
        <v>17</v>
      </c>
      <c r="K10">
        <f t="shared" si="0"/>
        <v>84.125</v>
      </c>
      <c r="M10">
        <f t="shared" si="1"/>
        <v>116.5</v>
      </c>
      <c r="N10">
        <f t="shared" si="2"/>
        <v>51.75</v>
      </c>
      <c r="Q10">
        <v>9.3000000000000007</v>
      </c>
      <c r="R10">
        <f t="shared" si="3"/>
        <v>74.825000000000003</v>
      </c>
    </row>
    <row r="11" spans="1:18" x14ac:dyDescent="0.25">
      <c r="A11" t="s">
        <v>92</v>
      </c>
      <c r="B11">
        <v>56</v>
      </c>
      <c r="C11">
        <v>25.8</v>
      </c>
      <c r="D11">
        <v>20.3</v>
      </c>
      <c r="E11">
        <v>28.4</v>
      </c>
      <c r="F11">
        <v>112</v>
      </c>
      <c r="G11">
        <v>62</v>
      </c>
      <c r="H11">
        <v>13.3</v>
      </c>
      <c r="I11">
        <v>23.1</v>
      </c>
      <c r="K11">
        <f t="shared" si="0"/>
        <v>42.612500000000004</v>
      </c>
      <c r="M11">
        <f t="shared" si="1"/>
        <v>32.625</v>
      </c>
      <c r="N11">
        <f t="shared" si="2"/>
        <v>52.6</v>
      </c>
      <c r="Q11">
        <v>10.5</v>
      </c>
      <c r="R11">
        <f t="shared" si="3"/>
        <v>32.112500000000004</v>
      </c>
    </row>
    <row r="12" spans="1:18" x14ac:dyDescent="0.25">
      <c r="A12" t="s">
        <v>93</v>
      </c>
      <c r="B12">
        <v>72</v>
      </c>
      <c r="C12">
        <v>69</v>
      </c>
      <c r="D12">
        <v>27.1</v>
      </c>
      <c r="E12">
        <v>82</v>
      </c>
      <c r="F12">
        <v>101</v>
      </c>
      <c r="G12">
        <v>87</v>
      </c>
      <c r="H12">
        <v>31.8</v>
      </c>
      <c r="I12">
        <v>75</v>
      </c>
      <c r="K12">
        <f t="shared" si="0"/>
        <v>68.112500000000011</v>
      </c>
      <c r="M12">
        <f t="shared" si="1"/>
        <v>62.524999999999999</v>
      </c>
      <c r="N12">
        <f t="shared" si="2"/>
        <v>73.7</v>
      </c>
      <c r="Q12">
        <v>10.1</v>
      </c>
      <c r="R12">
        <f t="shared" si="3"/>
        <v>58.01250000000001</v>
      </c>
    </row>
    <row r="13" spans="1:18" x14ac:dyDescent="0.25">
      <c r="A13" t="s">
        <v>110</v>
      </c>
      <c r="B13">
        <v>76</v>
      </c>
      <c r="C13">
        <v>99</v>
      </c>
      <c r="D13">
        <v>102</v>
      </c>
      <c r="E13">
        <v>172</v>
      </c>
      <c r="F13">
        <v>101</v>
      </c>
      <c r="G13">
        <v>86</v>
      </c>
      <c r="H13">
        <v>68</v>
      </c>
      <c r="I13">
        <v>131</v>
      </c>
      <c r="K13">
        <f t="shared" si="0"/>
        <v>104.375</v>
      </c>
      <c r="M13">
        <f t="shared" si="1"/>
        <v>112.25</v>
      </c>
      <c r="N13">
        <f t="shared" si="2"/>
        <v>96.5</v>
      </c>
      <c r="Q13">
        <v>16.399999999999999</v>
      </c>
      <c r="R13">
        <f t="shared" si="3"/>
        <v>87.974999999999994</v>
      </c>
    </row>
    <row r="14" spans="1:18" x14ac:dyDescent="0.25">
      <c r="A14" t="s">
        <v>120</v>
      </c>
      <c r="B14">
        <v>156</v>
      </c>
      <c r="C14">
        <v>43</v>
      </c>
      <c r="D14">
        <v>25.7</v>
      </c>
      <c r="E14">
        <v>52</v>
      </c>
      <c r="F14">
        <v>78</v>
      </c>
      <c r="G14">
        <v>52</v>
      </c>
      <c r="H14">
        <v>54</v>
      </c>
      <c r="I14">
        <v>113</v>
      </c>
      <c r="K14">
        <f t="shared" si="0"/>
        <v>71.712500000000006</v>
      </c>
      <c r="M14">
        <f t="shared" si="1"/>
        <v>69.174999999999997</v>
      </c>
      <c r="N14">
        <f t="shared" si="2"/>
        <v>74.25</v>
      </c>
      <c r="Q14">
        <v>0.57999999999999996</v>
      </c>
      <c r="R14">
        <f t="shared" si="3"/>
        <v>71.132500000000007</v>
      </c>
    </row>
    <row r="15" spans="1:18" x14ac:dyDescent="0.25">
      <c r="A15" t="s">
        <v>125</v>
      </c>
      <c r="B15">
        <v>46</v>
      </c>
      <c r="C15">
        <v>67</v>
      </c>
      <c r="D15">
        <v>85</v>
      </c>
      <c r="E15">
        <v>62</v>
      </c>
      <c r="F15">
        <v>24.6</v>
      </c>
      <c r="G15">
        <v>50</v>
      </c>
      <c r="H15">
        <v>49</v>
      </c>
      <c r="I15">
        <v>49</v>
      </c>
      <c r="K15">
        <f t="shared" si="0"/>
        <v>54.075000000000003</v>
      </c>
      <c r="M15">
        <f t="shared" si="1"/>
        <v>65</v>
      </c>
      <c r="N15">
        <f t="shared" si="2"/>
        <v>43.15</v>
      </c>
      <c r="Q15">
        <v>9</v>
      </c>
      <c r="R15">
        <f t="shared" si="3"/>
        <v>45.075000000000003</v>
      </c>
    </row>
    <row r="16" spans="1:18" x14ac:dyDescent="0.25">
      <c r="A16" t="s">
        <v>130</v>
      </c>
      <c r="B16">
        <v>99</v>
      </c>
      <c r="C16">
        <v>111</v>
      </c>
      <c r="D16">
        <v>118</v>
      </c>
      <c r="E16">
        <v>133</v>
      </c>
      <c r="F16">
        <v>101</v>
      </c>
      <c r="G16">
        <v>112</v>
      </c>
      <c r="H16">
        <v>160</v>
      </c>
      <c r="I16">
        <v>111</v>
      </c>
      <c r="K16">
        <f t="shared" si="0"/>
        <v>118.125</v>
      </c>
      <c r="M16">
        <f t="shared" si="1"/>
        <v>115.25</v>
      </c>
      <c r="N16">
        <f t="shared" si="2"/>
        <v>121</v>
      </c>
      <c r="Q16">
        <v>9.5</v>
      </c>
      <c r="R16">
        <f t="shared" si="3"/>
        <v>108.625</v>
      </c>
    </row>
    <row r="17" spans="1:18" x14ac:dyDescent="0.25">
      <c r="A17" t="s">
        <v>145</v>
      </c>
      <c r="B17">
        <v>74</v>
      </c>
      <c r="C17">
        <v>104</v>
      </c>
      <c r="D17">
        <v>247</v>
      </c>
      <c r="E17">
        <v>108</v>
      </c>
      <c r="F17">
        <v>99</v>
      </c>
      <c r="G17">
        <v>231</v>
      </c>
      <c r="H17">
        <v>62</v>
      </c>
      <c r="I17">
        <v>122</v>
      </c>
      <c r="K17">
        <f t="shared" si="0"/>
        <v>130.875</v>
      </c>
      <c r="M17">
        <f t="shared" si="1"/>
        <v>133.25</v>
      </c>
      <c r="N17">
        <f t="shared" si="2"/>
        <v>128.5</v>
      </c>
      <c r="Q17">
        <v>0.81</v>
      </c>
      <c r="R17">
        <f t="shared" si="3"/>
        <v>130.065</v>
      </c>
    </row>
    <row r="18" spans="1:18" x14ac:dyDescent="0.25">
      <c r="A18" t="s">
        <v>144</v>
      </c>
      <c r="B18">
        <v>213</v>
      </c>
      <c r="C18">
        <v>204</v>
      </c>
      <c r="D18">
        <v>183</v>
      </c>
      <c r="E18">
        <v>73</v>
      </c>
      <c r="F18">
        <v>140</v>
      </c>
      <c r="G18">
        <v>216</v>
      </c>
      <c r="H18">
        <v>162</v>
      </c>
      <c r="I18">
        <v>162</v>
      </c>
      <c r="K18">
        <f t="shared" si="0"/>
        <v>169.125</v>
      </c>
      <c r="M18">
        <f t="shared" si="1"/>
        <v>168.25</v>
      </c>
      <c r="N18">
        <f t="shared" si="2"/>
        <v>170</v>
      </c>
      <c r="Q18">
        <v>0.64</v>
      </c>
      <c r="R18">
        <f t="shared" si="3"/>
        <v>168.48500000000001</v>
      </c>
    </row>
    <row r="19" spans="1:18" x14ac:dyDescent="0.25">
      <c r="A19" t="s">
        <v>132</v>
      </c>
      <c r="B19">
        <v>96</v>
      </c>
      <c r="C19">
        <v>49</v>
      </c>
      <c r="D19">
        <v>150</v>
      </c>
      <c r="E19">
        <v>76</v>
      </c>
      <c r="F19">
        <v>63</v>
      </c>
      <c r="G19">
        <v>75</v>
      </c>
      <c r="H19">
        <v>64</v>
      </c>
      <c r="I19">
        <v>38.9</v>
      </c>
      <c r="K19">
        <f t="shared" si="0"/>
        <v>76.487499999999997</v>
      </c>
      <c r="M19">
        <f t="shared" si="1"/>
        <v>92.75</v>
      </c>
      <c r="N19">
        <f t="shared" si="2"/>
        <v>60.225000000000001</v>
      </c>
      <c r="Q19">
        <v>0.79</v>
      </c>
      <c r="R19">
        <f t="shared" si="3"/>
        <v>75.697499999999991</v>
      </c>
    </row>
    <row r="20" spans="1:18" x14ac:dyDescent="0.25">
      <c r="A20" t="s">
        <v>146</v>
      </c>
      <c r="B20">
        <v>87</v>
      </c>
      <c r="C20">
        <v>104</v>
      </c>
      <c r="D20">
        <v>138</v>
      </c>
      <c r="E20">
        <v>99</v>
      </c>
      <c r="F20">
        <v>70</v>
      </c>
      <c r="G20">
        <v>90</v>
      </c>
      <c r="H20">
        <v>141</v>
      </c>
      <c r="I20">
        <v>80</v>
      </c>
      <c r="K20">
        <f t="shared" si="0"/>
        <v>101.125</v>
      </c>
      <c r="M20">
        <f t="shared" si="1"/>
        <v>107</v>
      </c>
      <c r="N20">
        <f t="shared" si="2"/>
        <v>95.25</v>
      </c>
      <c r="Q20">
        <v>11.9</v>
      </c>
      <c r="R20">
        <f t="shared" si="3"/>
        <v>89.224999999999994</v>
      </c>
    </row>
    <row r="21" spans="1:18" x14ac:dyDescent="0.25">
      <c r="A21" t="s">
        <v>147</v>
      </c>
      <c r="B21">
        <v>45</v>
      </c>
      <c r="C21">
        <v>92</v>
      </c>
      <c r="D21">
        <v>90</v>
      </c>
      <c r="E21">
        <v>55</v>
      </c>
      <c r="F21">
        <v>83</v>
      </c>
      <c r="G21">
        <v>59</v>
      </c>
      <c r="H21">
        <v>135</v>
      </c>
      <c r="I21">
        <v>91</v>
      </c>
      <c r="K21">
        <f t="shared" si="0"/>
        <v>81.25</v>
      </c>
      <c r="M21">
        <f t="shared" si="1"/>
        <v>70.5</v>
      </c>
      <c r="N21">
        <f t="shared" si="2"/>
        <v>92</v>
      </c>
      <c r="Q21">
        <v>12.9</v>
      </c>
      <c r="R21">
        <f t="shared" si="3"/>
        <v>68.349999999999994</v>
      </c>
    </row>
    <row r="22" spans="1:18" x14ac:dyDescent="0.25">
      <c r="A22" t="s">
        <v>155</v>
      </c>
      <c r="B22">
        <v>35.4</v>
      </c>
      <c r="C22">
        <v>30.6</v>
      </c>
      <c r="D22">
        <v>14.8</v>
      </c>
      <c r="E22">
        <v>62</v>
      </c>
      <c r="F22">
        <v>89</v>
      </c>
      <c r="G22">
        <v>84</v>
      </c>
      <c r="H22">
        <v>127</v>
      </c>
      <c r="I22">
        <v>52</v>
      </c>
      <c r="K22">
        <f t="shared" si="0"/>
        <v>61.85</v>
      </c>
      <c r="M22">
        <f t="shared" si="1"/>
        <v>35.700000000000003</v>
      </c>
      <c r="N22">
        <f t="shared" si="2"/>
        <v>88</v>
      </c>
      <c r="Q22">
        <v>3.2</v>
      </c>
      <c r="R22">
        <f t="shared" si="3"/>
        <v>58.65</v>
      </c>
    </row>
    <row r="23" spans="1:18" x14ac:dyDescent="0.25">
      <c r="A23" t="s">
        <v>158</v>
      </c>
      <c r="B23">
        <v>65</v>
      </c>
      <c r="C23">
        <v>18.2</v>
      </c>
      <c r="D23">
        <v>13.7</v>
      </c>
      <c r="E23">
        <v>38.1</v>
      </c>
      <c r="F23">
        <v>49</v>
      </c>
      <c r="G23">
        <v>87</v>
      </c>
      <c r="H23">
        <v>71</v>
      </c>
      <c r="I23">
        <v>55</v>
      </c>
      <c r="K23">
        <f t="shared" si="0"/>
        <v>49.625</v>
      </c>
      <c r="M23">
        <f t="shared" si="1"/>
        <v>33.75</v>
      </c>
      <c r="N23">
        <f t="shared" si="2"/>
        <v>65.5</v>
      </c>
      <c r="Q23">
        <v>11.6</v>
      </c>
      <c r="R23">
        <f t="shared" si="3"/>
        <v>38.024999999999999</v>
      </c>
    </row>
    <row r="24" spans="1:18" x14ac:dyDescent="0.25">
      <c r="A24" t="s">
        <v>162</v>
      </c>
      <c r="B24">
        <v>169</v>
      </c>
      <c r="C24">
        <v>83</v>
      </c>
      <c r="D24">
        <v>53</v>
      </c>
      <c r="E24">
        <v>138</v>
      </c>
      <c r="F24">
        <v>138</v>
      </c>
      <c r="G24">
        <v>41</v>
      </c>
      <c r="H24">
        <v>29.8</v>
      </c>
      <c r="I24">
        <v>62</v>
      </c>
      <c r="K24">
        <f>AVERAGE(B24:I24)</f>
        <v>89.224999999999994</v>
      </c>
      <c r="M24">
        <f>AVERAGE(C24:F24)</f>
        <v>103</v>
      </c>
      <c r="N24">
        <f>AVERAGE(G24:I24)</f>
        <v>44.266666666666673</v>
      </c>
      <c r="Q24">
        <v>9.1999999999999993</v>
      </c>
      <c r="R24">
        <f t="shared" si="3"/>
        <v>80.024999999999991</v>
      </c>
    </row>
    <row r="25" spans="1:18" x14ac:dyDescent="0.25">
      <c r="A25" t="s">
        <v>160</v>
      </c>
      <c r="B25">
        <v>53</v>
      </c>
      <c r="C25">
        <v>78</v>
      </c>
      <c r="D25">
        <v>133</v>
      </c>
      <c r="E25">
        <v>70</v>
      </c>
      <c r="F25">
        <v>86</v>
      </c>
      <c r="G25">
        <v>110</v>
      </c>
      <c r="H25">
        <v>92</v>
      </c>
      <c r="I25">
        <v>92</v>
      </c>
      <c r="K25">
        <f t="shared" ref="K25:K30" si="4">AVERAGE(B25:I25)</f>
        <v>89.25</v>
      </c>
      <c r="M25">
        <f t="shared" ref="M25:M30" si="5">AVERAGE(B25:E25)</f>
        <v>83.5</v>
      </c>
      <c r="N25">
        <f t="shared" ref="N25:N30" si="6">AVERAGE(F25:I25)</f>
        <v>95</v>
      </c>
      <c r="Q25">
        <v>11</v>
      </c>
      <c r="R25">
        <f t="shared" si="3"/>
        <v>78.25</v>
      </c>
    </row>
    <row r="26" spans="1:18" x14ac:dyDescent="0.25">
      <c r="A26" t="s">
        <v>173</v>
      </c>
      <c r="B26">
        <v>131</v>
      </c>
      <c r="C26">
        <v>79</v>
      </c>
      <c r="D26">
        <v>94</v>
      </c>
      <c r="E26">
        <v>69</v>
      </c>
      <c r="F26">
        <v>200</v>
      </c>
      <c r="G26">
        <v>64</v>
      </c>
      <c r="H26">
        <v>110</v>
      </c>
      <c r="I26">
        <v>88</v>
      </c>
      <c r="K26">
        <f t="shared" si="4"/>
        <v>104.375</v>
      </c>
      <c r="M26">
        <f t="shared" si="5"/>
        <v>93.25</v>
      </c>
      <c r="N26">
        <f t="shared" si="6"/>
        <v>115.5</v>
      </c>
      <c r="Q26">
        <v>8.8000000000000007</v>
      </c>
      <c r="R26">
        <f t="shared" si="3"/>
        <v>95.575000000000003</v>
      </c>
    </row>
    <row r="27" spans="1:18" x14ac:dyDescent="0.25">
      <c r="A27" t="s">
        <v>174</v>
      </c>
      <c r="B27">
        <v>93</v>
      </c>
      <c r="C27">
        <v>112</v>
      </c>
      <c r="D27">
        <v>71</v>
      </c>
      <c r="E27">
        <v>70</v>
      </c>
      <c r="F27">
        <v>110</v>
      </c>
      <c r="G27">
        <v>104</v>
      </c>
      <c r="H27">
        <v>46</v>
      </c>
      <c r="I27">
        <v>124</v>
      </c>
      <c r="K27">
        <f t="shared" si="4"/>
        <v>91.25</v>
      </c>
      <c r="M27">
        <f t="shared" si="5"/>
        <v>86.5</v>
      </c>
      <c r="N27">
        <f t="shared" si="6"/>
        <v>96</v>
      </c>
      <c r="Q27">
        <v>8.9</v>
      </c>
      <c r="R27">
        <f t="shared" si="3"/>
        <v>82.35</v>
      </c>
    </row>
    <row r="28" spans="1:18" x14ac:dyDescent="0.25">
      <c r="A28" t="s">
        <v>175</v>
      </c>
      <c r="B28">
        <v>56</v>
      </c>
      <c r="C28">
        <v>64</v>
      </c>
      <c r="D28">
        <v>67</v>
      </c>
      <c r="E28">
        <v>22</v>
      </c>
      <c r="F28">
        <v>34.5</v>
      </c>
      <c r="G28">
        <v>42</v>
      </c>
      <c r="H28">
        <v>34.4</v>
      </c>
      <c r="I28">
        <v>41</v>
      </c>
      <c r="K28">
        <f t="shared" si="4"/>
        <v>45.112499999999997</v>
      </c>
      <c r="M28">
        <f t="shared" si="5"/>
        <v>52.25</v>
      </c>
      <c r="N28">
        <f t="shared" si="6"/>
        <v>37.975000000000001</v>
      </c>
      <c r="Q28">
        <v>0.73</v>
      </c>
      <c r="R28">
        <f t="shared" si="3"/>
        <v>44.3825</v>
      </c>
    </row>
    <row r="29" spans="1:18" x14ac:dyDescent="0.25">
      <c r="A29" t="s">
        <v>187</v>
      </c>
      <c r="B29">
        <v>63</v>
      </c>
      <c r="C29">
        <v>134</v>
      </c>
      <c r="D29">
        <v>94</v>
      </c>
      <c r="E29">
        <v>70</v>
      </c>
      <c r="F29">
        <v>67</v>
      </c>
      <c r="G29">
        <v>88</v>
      </c>
      <c r="H29">
        <v>93</v>
      </c>
      <c r="I29">
        <v>97</v>
      </c>
      <c r="K29">
        <f t="shared" si="4"/>
        <v>88.25</v>
      </c>
      <c r="M29">
        <f t="shared" si="5"/>
        <v>90.25</v>
      </c>
      <c r="N29">
        <f t="shared" si="6"/>
        <v>86.25</v>
      </c>
      <c r="Q29">
        <v>8.5</v>
      </c>
      <c r="R29">
        <f t="shared" si="3"/>
        <v>79.75</v>
      </c>
    </row>
    <row r="30" spans="1:18" x14ac:dyDescent="0.25">
      <c r="A30" t="s">
        <v>186</v>
      </c>
      <c r="B30">
        <v>46</v>
      </c>
      <c r="C30">
        <v>55</v>
      </c>
      <c r="D30">
        <v>62</v>
      </c>
      <c r="E30">
        <v>64</v>
      </c>
      <c r="F30">
        <v>30.1</v>
      </c>
      <c r="G30">
        <v>51</v>
      </c>
      <c r="H30">
        <v>55</v>
      </c>
      <c r="I30">
        <v>44</v>
      </c>
      <c r="K30">
        <f t="shared" si="4"/>
        <v>50.887500000000003</v>
      </c>
      <c r="M30">
        <f t="shared" si="5"/>
        <v>56.75</v>
      </c>
      <c r="N30">
        <f t="shared" si="6"/>
        <v>45.024999999999999</v>
      </c>
      <c r="Q30">
        <v>0.85</v>
      </c>
      <c r="R30">
        <f t="shared" si="3"/>
        <v>50.037500000000001</v>
      </c>
    </row>
    <row r="32" spans="1:18" s="25" customFormat="1" x14ac:dyDescent="0.25">
      <c r="A32" s="25" t="s">
        <v>1</v>
      </c>
    </row>
    <row r="33" spans="1:18" x14ac:dyDescent="0.25">
      <c r="A33" t="s">
        <v>3</v>
      </c>
      <c r="B33">
        <v>231</v>
      </c>
      <c r="C33">
        <v>258</v>
      </c>
      <c r="D33">
        <v>274</v>
      </c>
      <c r="E33">
        <v>152</v>
      </c>
      <c r="F33">
        <v>209</v>
      </c>
      <c r="G33">
        <v>217</v>
      </c>
      <c r="H33">
        <v>249</v>
      </c>
      <c r="I33">
        <v>180</v>
      </c>
      <c r="K33">
        <f t="shared" si="0"/>
        <v>221.25</v>
      </c>
      <c r="M33">
        <f t="shared" si="1"/>
        <v>228.75</v>
      </c>
      <c r="N33">
        <f t="shared" si="2"/>
        <v>213.75</v>
      </c>
      <c r="Q33">
        <v>48</v>
      </c>
      <c r="R33">
        <f>K33-Q33</f>
        <v>173.25</v>
      </c>
    </row>
    <row r="34" spans="1:18" x14ac:dyDescent="0.25">
      <c r="A34" t="s">
        <v>13</v>
      </c>
      <c r="B34">
        <v>184</v>
      </c>
      <c r="C34">
        <v>261</v>
      </c>
      <c r="D34">
        <v>100</v>
      </c>
      <c r="E34">
        <v>174</v>
      </c>
      <c r="F34">
        <v>119</v>
      </c>
      <c r="G34">
        <v>153</v>
      </c>
      <c r="H34">
        <v>149</v>
      </c>
      <c r="I34">
        <v>149</v>
      </c>
      <c r="K34">
        <f t="shared" si="0"/>
        <v>161.125</v>
      </c>
      <c r="M34">
        <f t="shared" si="1"/>
        <v>179.75</v>
      </c>
      <c r="N34">
        <f t="shared" si="2"/>
        <v>142.5</v>
      </c>
      <c r="Q34">
        <v>26.9</v>
      </c>
      <c r="R34">
        <f t="shared" si="3"/>
        <v>134.22499999999999</v>
      </c>
    </row>
    <row r="35" spans="1:18" x14ac:dyDescent="0.25">
      <c r="A35" t="s">
        <v>68</v>
      </c>
      <c r="B35">
        <v>36.6</v>
      </c>
      <c r="C35">
        <v>61</v>
      </c>
      <c r="D35">
        <v>58</v>
      </c>
      <c r="E35">
        <v>121</v>
      </c>
      <c r="F35">
        <v>86</v>
      </c>
      <c r="G35">
        <v>98</v>
      </c>
      <c r="H35">
        <v>71</v>
      </c>
      <c r="I35">
        <v>62</v>
      </c>
      <c r="K35">
        <f t="shared" si="0"/>
        <v>74.2</v>
      </c>
      <c r="M35">
        <f t="shared" si="1"/>
        <v>69.150000000000006</v>
      </c>
      <c r="N35">
        <f t="shared" si="2"/>
        <v>79.25</v>
      </c>
      <c r="Q35">
        <v>24.1</v>
      </c>
      <c r="R35">
        <f t="shared" si="3"/>
        <v>50.1</v>
      </c>
    </row>
    <row r="36" spans="1:18" x14ac:dyDescent="0.25">
      <c r="A36" t="s">
        <v>69</v>
      </c>
      <c r="B36">
        <v>60</v>
      </c>
      <c r="C36">
        <v>82</v>
      </c>
      <c r="D36">
        <v>83</v>
      </c>
      <c r="E36">
        <v>70</v>
      </c>
      <c r="F36">
        <v>158</v>
      </c>
      <c r="G36">
        <v>77</v>
      </c>
      <c r="H36">
        <v>76</v>
      </c>
      <c r="I36">
        <v>51</v>
      </c>
      <c r="K36">
        <f t="shared" si="0"/>
        <v>82.125</v>
      </c>
      <c r="M36">
        <f t="shared" si="1"/>
        <v>73.75</v>
      </c>
      <c r="N36">
        <f t="shared" si="2"/>
        <v>90.5</v>
      </c>
      <c r="Q36">
        <v>36</v>
      </c>
      <c r="R36">
        <f t="shared" si="3"/>
        <v>46.125</v>
      </c>
    </row>
    <row r="37" spans="1:18" x14ac:dyDescent="0.25">
      <c r="A37" t="s">
        <v>70</v>
      </c>
      <c r="B37">
        <v>91</v>
      </c>
      <c r="C37">
        <v>103</v>
      </c>
      <c r="D37">
        <v>103</v>
      </c>
      <c r="E37">
        <v>109</v>
      </c>
      <c r="F37">
        <v>74</v>
      </c>
      <c r="G37">
        <v>69</v>
      </c>
      <c r="H37">
        <v>58</v>
      </c>
      <c r="I37">
        <v>167</v>
      </c>
      <c r="K37">
        <f t="shared" si="0"/>
        <v>96.75</v>
      </c>
      <c r="M37">
        <f t="shared" si="1"/>
        <v>101.5</v>
      </c>
      <c r="N37">
        <f t="shared" si="2"/>
        <v>92</v>
      </c>
      <c r="Q37">
        <v>30</v>
      </c>
      <c r="R37">
        <f t="shared" si="3"/>
        <v>66.75</v>
      </c>
    </row>
    <row r="38" spans="1:18" x14ac:dyDescent="0.25">
      <c r="A38" t="s">
        <v>74</v>
      </c>
      <c r="B38">
        <v>95</v>
      </c>
      <c r="C38">
        <v>139</v>
      </c>
      <c r="D38">
        <v>99</v>
      </c>
      <c r="E38">
        <v>221</v>
      </c>
      <c r="F38">
        <v>71</v>
      </c>
      <c r="G38">
        <v>128</v>
      </c>
      <c r="H38">
        <v>144</v>
      </c>
      <c r="I38">
        <v>117</v>
      </c>
      <c r="K38">
        <f t="shared" si="0"/>
        <v>126.75</v>
      </c>
      <c r="M38">
        <f t="shared" si="1"/>
        <v>138.5</v>
      </c>
      <c r="N38">
        <f t="shared" si="2"/>
        <v>115</v>
      </c>
      <c r="Q38">
        <v>32.700000000000003</v>
      </c>
      <c r="R38">
        <f t="shared" si="3"/>
        <v>94.05</v>
      </c>
    </row>
    <row r="39" spans="1:18" x14ac:dyDescent="0.25">
      <c r="A39" t="s">
        <v>79</v>
      </c>
      <c r="B39">
        <v>93</v>
      </c>
      <c r="C39">
        <v>96</v>
      </c>
      <c r="D39">
        <v>93</v>
      </c>
      <c r="E39">
        <v>76</v>
      </c>
      <c r="F39">
        <v>114</v>
      </c>
      <c r="G39">
        <v>140</v>
      </c>
      <c r="H39">
        <v>50</v>
      </c>
      <c r="I39">
        <v>123</v>
      </c>
      <c r="K39">
        <f t="shared" si="0"/>
        <v>98.125</v>
      </c>
      <c r="M39">
        <f t="shared" si="1"/>
        <v>89.5</v>
      </c>
      <c r="N39">
        <f t="shared" si="2"/>
        <v>106.75</v>
      </c>
      <c r="Q39">
        <v>33.299999999999997</v>
      </c>
      <c r="R39">
        <f t="shared" si="3"/>
        <v>64.825000000000003</v>
      </c>
    </row>
    <row r="40" spans="1:18" x14ac:dyDescent="0.25">
      <c r="A40" t="s">
        <v>80</v>
      </c>
      <c r="B40">
        <v>141</v>
      </c>
      <c r="C40">
        <v>150</v>
      </c>
      <c r="D40">
        <v>250</v>
      </c>
      <c r="E40">
        <v>252</v>
      </c>
      <c r="F40">
        <v>200</v>
      </c>
      <c r="G40">
        <v>283</v>
      </c>
      <c r="H40">
        <v>239</v>
      </c>
      <c r="I40">
        <v>245</v>
      </c>
      <c r="K40">
        <f t="shared" si="0"/>
        <v>220</v>
      </c>
      <c r="M40">
        <f t="shared" si="1"/>
        <v>198.25</v>
      </c>
      <c r="N40">
        <f t="shared" si="2"/>
        <v>241.75</v>
      </c>
      <c r="Q40">
        <v>44</v>
      </c>
      <c r="R40">
        <f t="shared" si="3"/>
        <v>176</v>
      </c>
    </row>
    <row r="41" spans="1:18" x14ac:dyDescent="0.25">
      <c r="A41" t="s">
        <v>86</v>
      </c>
      <c r="B41">
        <v>105</v>
      </c>
      <c r="C41">
        <v>84</v>
      </c>
      <c r="D41">
        <v>55</v>
      </c>
      <c r="E41">
        <v>67</v>
      </c>
      <c r="F41">
        <v>123</v>
      </c>
      <c r="G41">
        <v>110</v>
      </c>
      <c r="H41">
        <v>48</v>
      </c>
      <c r="I41">
        <v>130</v>
      </c>
      <c r="K41">
        <f t="shared" si="0"/>
        <v>90.25</v>
      </c>
      <c r="M41">
        <f t="shared" si="1"/>
        <v>77.75</v>
      </c>
      <c r="N41">
        <f t="shared" si="2"/>
        <v>102.75</v>
      </c>
      <c r="Q41">
        <v>29.5</v>
      </c>
      <c r="R41">
        <f t="shared" si="3"/>
        <v>60.75</v>
      </c>
    </row>
    <row r="42" spans="1:18" x14ac:dyDescent="0.25">
      <c r="A42" t="s">
        <v>92</v>
      </c>
      <c r="B42">
        <v>24.4</v>
      </c>
      <c r="C42">
        <v>47</v>
      </c>
      <c r="D42">
        <v>105</v>
      </c>
      <c r="E42">
        <v>73</v>
      </c>
      <c r="F42">
        <v>64</v>
      </c>
      <c r="G42">
        <v>62</v>
      </c>
      <c r="H42">
        <v>46</v>
      </c>
      <c r="I42">
        <v>58</v>
      </c>
      <c r="K42">
        <f t="shared" si="0"/>
        <v>59.924999999999997</v>
      </c>
      <c r="M42">
        <f t="shared" si="1"/>
        <v>62.35</v>
      </c>
      <c r="N42">
        <f t="shared" si="2"/>
        <v>57.5</v>
      </c>
      <c r="Q42">
        <v>29.2</v>
      </c>
      <c r="R42">
        <f t="shared" si="3"/>
        <v>30.724999999999998</v>
      </c>
    </row>
    <row r="43" spans="1:18" x14ac:dyDescent="0.25">
      <c r="A43" t="s">
        <v>93</v>
      </c>
      <c r="B43">
        <v>81</v>
      </c>
      <c r="C43">
        <v>126</v>
      </c>
      <c r="D43">
        <v>65</v>
      </c>
      <c r="E43">
        <v>139</v>
      </c>
      <c r="F43">
        <v>79</v>
      </c>
      <c r="G43">
        <v>66</v>
      </c>
      <c r="H43">
        <v>97</v>
      </c>
      <c r="I43">
        <v>61</v>
      </c>
      <c r="K43">
        <f t="shared" si="0"/>
        <v>89.25</v>
      </c>
      <c r="M43">
        <f t="shared" si="1"/>
        <v>102.75</v>
      </c>
      <c r="N43">
        <f t="shared" si="2"/>
        <v>75.75</v>
      </c>
      <c r="Q43">
        <v>35.1</v>
      </c>
      <c r="R43">
        <f t="shared" si="3"/>
        <v>54.15</v>
      </c>
    </row>
    <row r="44" spans="1:18" x14ac:dyDescent="0.25">
      <c r="A44" t="s">
        <v>110</v>
      </c>
      <c r="B44">
        <v>105</v>
      </c>
      <c r="C44">
        <v>184</v>
      </c>
      <c r="D44">
        <v>173</v>
      </c>
      <c r="E44">
        <v>343</v>
      </c>
      <c r="F44">
        <v>86</v>
      </c>
      <c r="G44">
        <v>113</v>
      </c>
      <c r="H44">
        <v>109</v>
      </c>
      <c r="I44">
        <v>232</v>
      </c>
      <c r="K44">
        <f t="shared" si="0"/>
        <v>168.125</v>
      </c>
      <c r="M44">
        <f t="shared" si="1"/>
        <v>201.25</v>
      </c>
      <c r="N44">
        <f t="shared" si="2"/>
        <v>135</v>
      </c>
      <c r="Q44">
        <v>46</v>
      </c>
      <c r="R44">
        <f t="shared" si="3"/>
        <v>122.125</v>
      </c>
    </row>
    <row r="45" spans="1:18" x14ac:dyDescent="0.25">
      <c r="A45" t="s">
        <v>120</v>
      </c>
      <c r="B45">
        <v>180</v>
      </c>
      <c r="C45">
        <v>95</v>
      </c>
      <c r="D45">
        <v>103</v>
      </c>
      <c r="E45" s="7"/>
      <c r="F45">
        <v>110</v>
      </c>
      <c r="G45">
        <v>71</v>
      </c>
      <c r="H45">
        <v>85</v>
      </c>
      <c r="I45">
        <v>116</v>
      </c>
      <c r="K45">
        <f t="shared" si="0"/>
        <v>108.57142857142857</v>
      </c>
      <c r="M45">
        <f t="shared" si="1"/>
        <v>126</v>
      </c>
      <c r="N45">
        <f t="shared" si="2"/>
        <v>95.5</v>
      </c>
      <c r="Q45">
        <v>22.5</v>
      </c>
      <c r="R45">
        <f t="shared" si="3"/>
        <v>86.071428571428569</v>
      </c>
    </row>
    <row r="46" spans="1:18" x14ac:dyDescent="0.25">
      <c r="A46" t="s">
        <v>125</v>
      </c>
      <c r="B46">
        <v>50</v>
      </c>
      <c r="C46">
        <v>45</v>
      </c>
      <c r="D46">
        <v>56</v>
      </c>
      <c r="E46">
        <v>39.799999999999997</v>
      </c>
      <c r="F46">
        <v>31.7</v>
      </c>
      <c r="G46">
        <v>90</v>
      </c>
      <c r="H46">
        <v>111</v>
      </c>
      <c r="I46">
        <v>83</v>
      </c>
      <c r="K46">
        <f t="shared" si="0"/>
        <v>63.3125</v>
      </c>
      <c r="M46">
        <f t="shared" si="1"/>
        <v>47.7</v>
      </c>
      <c r="N46">
        <f t="shared" si="2"/>
        <v>78.924999999999997</v>
      </c>
      <c r="Q46">
        <v>29.7</v>
      </c>
      <c r="R46">
        <f t="shared" si="3"/>
        <v>33.612499999999997</v>
      </c>
    </row>
    <row r="47" spans="1:18" x14ac:dyDescent="0.25">
      <c r="A47" t="s">
        <v>130</v>
      </c>
      <c r="B47">
        <v>86</v>
      </c>
      <c r="C47">
        <v>128</v>
      </c>
      <c r="D47">
        <v>113</v>
      </c>
      <c r="E47">
        <v>142</v>
      </c>
      <c r="F47">
        <v>148</v>
      </c>
      <c r="G47">
        <v>116</v>
      </c>
      <c r="H47">
        <v>154</v>
      </c>
      <c r="I47">
        <v>111</v>
      </c>
      <c r="K47">
        <f t="shared" si="0"/>
        <v>124.75</v>
      </c>
      <c r="M47">
        <f t="shared" si="1"/>
        <v>117.25</v>
      </c>
      <c r="N47">
        <f t="shared" si="2"/>
        <v>132.25</v>
      </c>
      <c r="Q47">
        <v>31.4</v>
      </c>
      <c r="R47">
        <f t="shared" si="3"/>
        <v>93.35</v>
      </c>
    </row>
    <row r="48" spans="1:18" x14ac:dyDescent="0.25">
      <c r="A48" t="s">
        <v>145</v>
      </c>
      <c r="B48">
        <v>170</v>
      </c>
      <c r="C48">
        <v>83</v>
      </c>
      <c r="D48">
        <v>73</v>
      </c>
      <c r="E48">
        <v>162</v>
      </c>
      <c r="F48">
        <v>182</v>
      </c>
      <c r="G48">
        <v>124</v>
      </c>
      <c r="H48">
        <v>78</v>
      </c>
      <c r="I48">
        <v>87</v>
      </c>
      <c r="K48">
        <f t="shared" si="0"/>
        <v>119.875</v>
      </c>
      <c r="M48">
        <f t="shared" si="1"/>
        <v>122</v>
      </c>
      <c r="N48">
        <f t="shared" si="2"/>
        <v>117.75</v>
      </c>
      <c r="Q48">
        <v>24.8</v>
      </c>
      <c r="R48">
        <f t="shared" si="3"/>
        <v>95.075000000000003</v>
      </c>
    </row>
    <row r="49" spans="1:18" x14ac:dyDescent="0.25">
      <c r="A49" t="s">
        <v>144</v>
      </c>
      <c r="B49">
        <v>61</v>
      </c>
      <c r="C49">
        <v>70</v>
      </c>
      <c r="D49">
        <v>79</v>
      </c>
      <c r="E49">
        <v>68</v>
      </c>
      <c r="F49">
        <v>148</v>
      </c>
      <c r="G49">
        <v>151</v>
      </c>
      <c r="H49">
        <v>143</v>
      </c>
      <c r="I49">
        <v>87</v>
      </c>
      <c r="K49">
        <f t="shared" si="0"/>
        <v>100.875</v>
      </c>
      <c r="M49">
        <f t="shared" si="1"/>
        <v>69.5</v>
      </c>
      <c r="N49">
        <f t="shared" si="2"/>
        <v>132.25</v>
      </c>
      <c r="Q49">
        <v>24.6</v>
      </c>
      <c r="R49">
        <f t="shared" si="3"/>
        <v>76.275000000000006</v>
      </c>
    </row>
    <row r="50" spans="1:18" x14ac:dyDescent="0.25">
      <c r="A50" t="s">
        <v>132</v>
      </c>
      <c r="B50">
        <v>66</v>
      </c>
      <c r="C50">
        <v>55</v>
      </c>
      <c r="D50">
        <v>90</v>
      </c>
      <c r="E50">
        <v>63</v>
      </c>
      <c r="F50">
        <v>58</v>
      </c>
      <c r="G50">
        <v>128</v>
      </c>
      <c r="H50">
        <v>187</v>
      </c>
      <c r="I50">
        <v>87</v>
      </c>
      <c r="K50">
        <f t="shared" si="0"/>
        <v>91.75</v>
      </c>
      <c r="M50">
        <f t="shared" si="1"/>
        <v>68.5</v>
      </c>
      <c r="N50">
        <f t="shared" si="2"/>
        <v>115</v>
      </c>
      <c r="Q50">
        <v>24.7</v>
      </c>
      <c r="R50">
        <f t="shared" si="3"/>
        <v>67.05</v>
      </c>
    </row>
    <row r="51" spans="1:18" x14ac:dyDescent="0.25">
      <c r="A51" t="s">
        <v>146</v>
      </c>
      <c r="B51">
        <v>148</v>
      </c>
      <c r="C51">
        <v>112</v>
      </c>
      <c r="D51">
        <v>109</v>
      </c>
      <c r="E51">
        <v>203</v>
      </c>
      <c r="F51">
        <v>116</v>
      </c>
      <c r="G51">
        <v>88</v>
      </c>
      <c r="H51">
        <v>113</v>
      </c>
      <c r="I51">
        <v>92</v>
      </c>
      <c r="K51">
        <f t="shared" si="0"/>
        <v>122.625</v>
      </c>
      <c r="M51">
        <f t="shared" si="1"/>
        <v>143</v>
      </c>
      <c r="N51">
        <f t="shared" si="2"/>
        <v>102.25</v>
      </c>
      <c r="Q51">
        <v>37.9</v>
      </c>
      <c r="R51">
        <f t="shared" si="3"/>
        <v>84.724999999999994</v>
      </c>
    </row>
    <row r="52" spans="1:18" x14ac:dyDescent="0.25">
      <c r="A52" t="s">
        <v>147</v>
      </c>
      <c r="B52">
        <v>82</v>
      </c>
      <c r="C52">
        <v>95</v>
      </c>
      <c r="D52">
        <v>105</v>
      </c>
      <c r="E52">
        <v>117</v>
      </c>
      <c r="F52">
        <v>58</v>
      </c>
      <c r="G52">
        <v>76</v>
      </c>
      <c r="H52">
        <v>89</v>
      </c>
      <c r="I52">
        <v>84</v>
      </c>
      <c r="K52">
        <f t="shared" si="0"/>
        <v>88.25</v>
      </c>
      <c r="M52">
        <f t="shared" si="1"/>
        <v>99.75</v>
      </c>
      <c r="N52">
        <f t="shared" si="2"/>
        <v>76.75</v>
      </c>
      <c r="Q52">
        <v>32.6</v>
      </c>
      <c r="R52">
        <f t="shared" si="3"/>
        <v>55.65</v>
      </c>
    </row>
    <row r="53" spans="1:18" x14ac:dyDescent="0.25">
      <c r="A53" t="s">
        <v>155</v>
      </c>
      <c r="B53">
        <v>61</v>
      </c>
      <c r="C53">
        <v>63</v>
      </c>
      <c r="D53">
        <v>51</v>
      </c>
      <c r="E53" s="7"/>
      <c r="F53">
        <v>95</v>
      </c>
      <c r="G53">
        <v>32.799999999999997</v>
      </c>
      <c r="H53">
        <v>23.5</v>
      </c>
      <c r="I53">
        <v>29.9</v>
      </c>
      <c r="K53">
        <f t="shared" si="0"/>
        <v>50.885714285714286</v>
      </c>
      <c r="M53">
        <f t="shared" si="1"/>
        <v>58.333333333333336</v>
      </c>
      <c r="N53">
        <f t="shared" si="2"/>
        <v>45.300000000000004</v>
      </c>
      <c r="Q53">
        <v>26.1</v>
      </c>
      <c r="R53">
        <f t="shared" si="3"/>
        <v>24.785714285714285</v>
      </c>
    </row>
    <row r="54" spans="1:18" x14ac:dyDescent="0.25">
      <c r="A54" t="s">
        <v>158</v>
      </c>
      <c r="B54">
        <v>64</v>
      </c>
      <c r="C54">
        <v>80</v>
      </c>
      <c r="D54">
        <v>111</v>
      </c>
      <c r="E54">
        <v>63</v>
      </c>
      <c r="F54">
        <v>122</v>
      </c>
      <c r="G54">
        <v>133</v>
      </c>
      <c r="H54">
        <v>72</v>
      </c>
      <c r="I54">
        <v>53</v>
      </c>
      <c r="K54">
        <f t="shared" si="0"/>
        <v>87.25</v>
      </c>
      <c r="M54">
        <f t="shared" si="1"/>
        <v>79.5</v>
      </c>
      <c r="N54">
        <f t="shared" si="2"/>
        <v>95</v>
      </c>
      <c r="Q54">
        <v>32.4</v>
      </c>
      <c r="R54">
        <f t="shared" si="3"/>
        <v>54.85</v>
      </c>
    </row>
    <row r="55" spans="1:18" x14ac:dyDescent="0.25">
      <c r="A55" t="s">
        <v>162</v>
      </c>
      <c r="B55">
        <v>173</v>
      </c>
      <c r="C55">
        <v>169</v>
      </c>
      <c r="D55">
        <v>193</v>
      </c>
      <c r="E55">
        <v>264</v>
      </c>
      <c r="F55">
        <v>100</v>
      </c>
      <c r="G55">
        <v>154</v>
      </c>
      <c r="H55">
        <v>466</v>
      </c>
      <c r="I55">
        <v>118</v>
      </c>
      <c r="K55">
        <f t="shared" si="0"/>
        <v>204.625</v>
      </c>
      <c r="M55">
        <f t="shared" si="1"/>
        <v>199.75</v>
      </c>
      <c r="N55">
        <f t="shared" si="2"/>
        <v>209.5</v>
      </c>
      <c r="Q55">
        <v>35.299999999999997</v>
      </c>
      <c r="R55">
        <f t="shared" si="3"/>
        <v>169.32499999999999</v>
      </c>
    </row>
    <row r="56" spans="1:18" x14ac:dyDescent="0.25">
      <c r="A56" t="s">
        <v>160</v>
      </c>
      <c r="B56">
        <v>151</v>
      </c>
      <c r="C56">
        <v>134</v>
      </c>
      <c r="D56">
        <v>123</v>
      </c>
      <c r="E56">
        <v>71</v>
      </c>
      <c r="F56">
        <v>73</v>
      </c>
      <c r="G56">
        <v>57</v>
      </c>
      <c r="H56">
        <v>74</v>
      </c>
      <c r="I56">
        <v>102</v>
      </c>
      <c r="K56">
        <f t="shared" ref="K56:K61" si="7">AVERAGE(B56:I56)</f>
        <v>98.125</v>
      </c>
      <c r="M56">
        <f t="shared" ref="M56:M61" si="8">AVERAGE(B56:E56)</f>
        <v>119.75</v>
      </c>
      <c r="N56">
        <f t="shared" ref="N56:N61" si="9">AVERAGE(F56:I56)</f>
        <v>76.5</v>
      </c>
      <c r="Q56">
        <v>46</v>
      </c>
      <c r="R56">
        <f t="shared" ref="R56:R61" si="10">K56-Q56</f>
        <v>52.125</v>
      </c>
    </row>
    <row r="57" spans="1:18" x14ac:dyDescent="0.25">
      <c r="A57" t="s">
        <v>173</v>
      </c>
      <c r="B57">
        <v>150</v>
      </c>
      <c r="C57">
        <v>44</v>
      </c>
      <c r="D57">
        <v>88</v>
      </c>
      <c r="E57">
        <v>212</v>
      </c>
      <c r="F57">
        <v>120</v>
      </c>
      <c r="G57">
        <v>120</v>
      </c>
      <c r="H57">
        <v>79</v>
      </c>
      <c r="I57">
        <v>137</v>
      </c>
      <c r="K57">
        <f t="shared" si="7"/>
        <v>118.75</v>
      </c>
      <c r="M57">
        <f t="shared" si="8"/>
        <v>123.5</v>
      </c>
      <c r="N57">
        <f t="shared" si="9"/>
        <v>114</v>
      </c>
      <c r="Q57">
        <v>28.5</v>
      </c>
      <c r="R57">
        <f t="shared" si="10"/>
        <v>90.25</v>
      </c>
    </row>
    <row r="58" spans="1:18" x14ac:dyDescent="0.25">
      <c r="A58" t="s">
        <v>174</v>
      </c>
      <c r="B58">
        <v>143</v>
      </c>
      <c r="C58">
        <v>119</v>
      </c>
      <c r="D58">
        <v>131</v>
      </c>
      <c r="E58">
        <v>83</v>
      </c>
      <c r="F58">
        <v>236</v>
      </c>
      <c r="G58">
        <v>92</v>
      </c>
      <c r="H58">
        <v>139</v>
      </c>
      <c r="I58">
        <v>138</v>
      </c>
      <c r="K58">
        <f t="shared" si="7"/>
        <v>135.125</v>
      </c>
      <c r="M58">
        <f t="shared" si="8"/>
        <v>119</v>
      </c>
      <c r="N58">
        <f t="shared" si="9"/>
        <v>151.25</v>
      </c>
      <c r="Q58">
        <v>34.799999999999997</v>
      </c>
      <c r="R58">
        <f t="shared" si="10"/>
        <v>100.325</v>
      </c>
    </row>
    <row r="59" spans="1:18" x14ac:dyDescent="0.25">
      <c r="A59" t="s">
        <v>175</v>
      </c>
      <c r="B59">
        <v>90</v>
      </c>
      <c r="C59">
        <v>72</v>
      </c>
      <c r="D59">
        <v>74</v>
      </c>
      <c r="E59">
        <v>55</v>
      </c>
      <c r="F59">
        <v>51</v>
      </c>
      <c r="G59">
        <v>160</v>
      </c>
      <c r="H59">
        <v>48</v>
      </c>
      <c r="I59">
        <v>94</v>
      </c>
      <c r="K59">
        <f t="shared" si="7"/>
        <v>80.5</v>
      </c>
      <c r="M59">
        <f t="shared" si="8"/>
        <v>72.75</v>
      </c>
      <c r="N59">
        <f t="shared" si="9"/>
        <v>88.25</v>
      </c>
      <c r="Q59">
        <v>23.7</v>
      </c>
      <c r="R59">
        <f t="shared" si="10"/>
        <v>56.8</v>
      </c>
    </row>
    <row r="60" spans="1:18" x14ac:dyDescent="0.25">
      <c r="A60" t="s">
        <v>187</v>
      </c>
      <c r="B60">
        <v>128</v>
      </c>
      <c r="C60">
        <v>161</v>
      </c>
      <c r="D60">
        <v>126</v>
      </c>
      <c r="E60">
        <v>535</v>
      </c>
      <c r="F60">
        <v>159</v>
      </c>
      <c r="G60">
        <v>89</v>
      </c>
      <c r="H60">
        <v>110</v>
      </c>
      <c r="I60">
        <v>149</v>
      </c>
      <c r="K60">
        <f t="shared" si="7"/>
        <v>182.125</v>
      </c>
      <c r="M60">
        <f t="shared" si="8"/>
        <v>237.5</v>
      </c>
      <c r="N60">
        <f t="shared" si="9"/>
        <v>126.75</v>
      </c>
      <c r="Q60">
        <v>30.3</v>
      </c>
      <c r="R60">
        <f t="shared" si="10"/>
        <v>151.82499999999999</v>
      </c>
    </row>
    <row r="61" spans="1:18" x14ac:dyDescent="0.25">
      <c r="A61" t="s">
        <v>186</v>
      </c>
      <c r="B61">
        <v>103</v>
      </c>
      <c r="C61">
        <v>152</v>
      </c>
      <c r="D61">
        <v>54</v>
      </c>
      <c r="E61">
        <v>120</v>
      </c>
      <c r="F61">
        <v>138</v>
      </c>
      <c r="G61">
        <v>89</v>
      </c>
      <c r="H61">
        <v>72</v>
      </c>
      <c r="I61">
        <v>90</v>
      </c>
      <c r="K61">
        <f t="shared" si="7"/>
        <v>102.25</v>
      </c>
      <c r="M61">
        <f t="shared" si="8"/>
        <v>107.25</v>
      </c>
      <c r="N61">
        <f t="shared" si="9"/>
        <v>97.25</v>
      </c>
      <c r="Q61">
        <v>26.9</v>
      </c>
      <c r="R61">
        <f t="shared" si="10"/>
        <v>75.349999999999994</v>
      </c>
    </row>
    <row r="63" spans="1:18" x14ac:dyDescent="0.25">
      <c r="J63" s="25"/>
      <c r="K63" s="37"/>
      <c r="L63" s="37"/>
      <c r="M63" s="37"/>
      <c r="N63" s="37"/>
      <c r="O63" s="37"/>
      <c r="P63" s="37"/>
      <c r="Q63" s="37"/>
      <c r="R63" s="37"/>
    </row>
    <row r="65" spans="10:18" x14ac:dyDescent="0.25">
      <c r="J65" s="25"/>
      <c r="K65" s="12"/>
      <c r="L65" s="12"/>
      <c r="M65" s="12"/>
      <c r="N65" s="12"/>
      <c r="O65" s="12"/>
      <c r="P65" s="12"/>
      <c r="Q65" s="12"/>
      <c r="R65" s="12"/>
    </row>
    <row r="66" spans="10:18" x14ac:dyDescent="0.25">
      <c r="J66" s="25"/>
      <c r="K66" s="12"/>
      <c r="L66" s="12"/>
      <c r="M66" s="12"/>
      <c r="N66" s="12"/>
      <c r="O66" s="12"/>
      <c r="P66" s="12"/>
      <c r="Q66" s="12"/>
      <c r="R66" s="12"/>
    </row>
    <row r="67" spans="10:18" x14ac:dyDescent="0.25">
      <c r="K67" s="12"/>
      <c r="L67" s="12"/>
      <c r="M67" s="12"/>
      <c r="N67" s="12"/>
      <c r="O67" s="12"/>
      <c r="P67" s="12"/>
      <c r="Q67" s="12"/>
      <c r="R67" s="12"/>
    </row>
    <row r="68" spans="10:18" x14ac:dyDescent="0.25">
      <c r="J68" s="25"/>
      <c r="K68" s="12"/>
      <c r="L68" s="12"/>
      <c r="M68" s="12"/>
      <c r="N68" s="12"/>
      <c r="O68" s="12"/>
      <c r="P68" s="12"/>
      <c r="Q68" s="12"/>
      <c r="R68" s="12"/>
    </row>
    <row r="69" spans="10:18" x14ac:dyDescent="0.25">
      <c r="J69" s="25"/>
      <c r="K69" s="12"/>
      <c r="L69" s="12"/>
      <c r="M69" s="12"/>
      <c r="N69" s="12"/>
      <c r="O69" s="12"/>
      <c r="P69" s="12"/>
      <c r="Q69" s="12"/>
      <c r="R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R69"/>
  <sheetViews>
    <sheetView zoomScale="55" zoomScaleNormal="55" workbookViewId="0">
      <selection activeCell="U44" sqref="U44"/>
    </sheetView>
  </sheetViews>
  <sheetFormatPr defaultRowHeight="15" x14ac:dyDescent="0.25"/>
  <sheetData>
    <row r="1" spans="1:18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Q1" s="25" t="s">
        <v>245</v>
      </c>
      <c r="R1" s="25" t="s">
        <v>246</v>
      </c>
    </row>
    <row r="2" spans="1:18" x14ac:dyDescent="0.25">
      <c r="A2" t="s">
        <v>3</v>
      </c>
      <c r="B2">
        <v>133</v>
      </c>
      <c r="C2">
        <v>122</v>
      </c>
      <c r="D2">
        <v>148</v>
      </c>
      <c r="E2">
        <v>137</v>
      </c>
      <c r="F2">
        <v>97</v>
      </c>
      <c r="G2">
        <v>124</v>
      </c>
      <c r="H2">
        <v>100</v>
      </c>
      <c r="I2">
        <v>135</v>
      </c>
      <c r="K2">
        <f>AVERAGE(B2:I2)</f>
        <v>124.5</v>
      </c>
      <c r="M2">
        <f>AVERAGE(B2:E2)</f>
        <v>135</v>
      </c>
      <c r="N2">
        <f>AVERAGE(F2:I2)</f>
        <v>114</v>
      </c>
      <c r="Q2">
        <v>15.1</v>
      </c>
      <c r="R2">
        <f>K2-Q2</f>
        <v>109.4</v>
      </c>
    </row>
    <row r="3" spans="1:18" x14ac:dyDescent="0.25">
      <c r="A3" t="s">
        <v>13</v>
      </c>
      <c r="B3">
        <v>128</v>
      </c>
      <c r="C3">
        <v>72</v>
      </c>
      <c r="D3">
        <v>95</v>
      </c>
      <c r="E3">
        <v>50</v>
      </c>
      <c r="F3">
        <v>49</v>
      </c>
      <c r="G3">
        <v>87</v>
      </c>
      <c r="H3">
        <v>67</v>
      </c>
      <c r="I3">
        <v>86</v>
      </c>
      <c r="K3">
        <f t="shared" ref="K3:K55" si="0">AVERAGE(B3:I3)</f>
        <v>79.25</v>
      </c>
      <c r="M3">
        <f t="shared" ref="M3:M55" si="1">AVERAGE(B3:E3)</f>
        <v>86.25</v>
      </c>
      <c r="N3">
        <f t="shared" ref="N3:N55" si="2">AVERAGE(F3:I3)</f>
        <v>72.25</v>
      </c>
      <c r="Q3">
        <v>11</v>
      </c>
      <c r="R3">
        <f t="shared" ref="R3:R55" si="3">K3-Q3</f>
        <v>68.25</v>
      </c>
    </row>
    <row r="4" spans="1:18" x14ac:dyDescent="0.25">
      <c r="A4" t="s">
        <v>68</v>
      </c>
      <c r="B4">
        <v>56</v>
      </c>
      <c r="C4" s="4">
        <v>40</v>
      </c>
      <c r="D4" s="4">
        <v>37.700000000000003</v>
      </c>
      <c r="E4" s="4">
        <v>38.799999999999997</v>
      </c>
      <c r="F4">
        <v>55</v>
      </c>
      <c r="G4">
        <v>39</v>
      </c>
      <c r="H4">
        <v>54</v>
      </c>
      <c r="I4">
        <v>58</v>
      </c>
      <c r="K4">
        <f t="shared" si="0"/>
        <v>47.3125</v>
      </c>
      <c r="M4">
        <f t="shared" si="1"/>
        <v>43.125</v>
      </c>
      <c r="N4">
        <f t="shared" si="2"/>
        <v>51.5</v>
      </c>
      <c r="Q4">
        <v>8.9</v>
      </c>
      <c r="R4">
        <f t="shared" si="3"/>
        <v>38.412500000000001</v>
      </c>
    </row>
    <row r="5" spans="1:18" x14ac:dyDescent="0.25">
      <c r="A5" t="s">
        <v>69</v>
      </c>
      <c r="B5">
        <v>57</v>
      </c>
      <c r="C5" s="4">
        <v>101</v>
      </c>
      <c r="D5" s="4">
        <v>43</v>
      </c>
      <c r="E5" s="4">
        <v>35</v>
      </c>
      <c r="F5" s="4">
        <v>58</v>
      </c>
      <c r="G5" s="4">
        <v>22.5</v>
      </c>
      <c r="H5" s="4">
        <v>81</v>
      </c>
      <c r="I5" s="4">
        <v>45</v>
      </c>
      <c r="K5">
        <f t="shared" si="0"/>
        <v>55.3125</v>
      </c>
      <c r="M5">
        <f t="shared" si="1"/>
        <v>59</v>
      </c>
      <c r="N5">
        <f t="shared" si="2"/>
        <v>51.625</v>
      </c>
      <c r="Q5">
        <v>10.6</v>
      </c>
      <c r="R5">
        <f t="shared" si="3"/>
        <v>44.712499999999999</v>
      </c>
    </row>
    <row r="6" spans="1:18" x14ac:dyDescent="0.25">
      <c r="A6" t="s">
        <v>70</v>
      </c>
      <c r="B6">
        <v>91</v>
      </c>
      <c r="C6" s="4">
        <v>65</v>
      </c>
      <c r="D6" s="4">
        <v>61</v>
      </c>
      <c r="E6" s="4">
        <v>59</v>
      </c>
      <c r="F6" s="4">
        <v>92</v>
      </c>
      <c r="G6" s="4">
        <v>114</v>
      </c>
      <c r="H6" s="4">
        <v>62</v>
      </c>
      <c r="I6" s="4">
        <v>68</v>
      </c>
      <c r="K6">
        <f t="shared" si="0"/>
        <v>76.5</v>
      </c>
      <c r="M6">
        <f t="shared" si="1"/>
        <v>69</v>
      </c>
      <c r="N6">
        <f t="shared" si="2"/>
        <v>84</v>
      </c>
      <c r="Q6">
        <v>9.1999999999999993</v>
      </c>
      <c r="R6">
        <f t="shared" si="3"/>
        <v>67.3</v>
      </c>
    </row>
    <row r="7" spans="1:18" x14ac:dyDescent="0.25">
      <c r="A7" t="s">
        <v>74</v>
      </c>
      <c r="B7">
        <v>102</v>
      </c>
      <c r="C7">
        <v>111</v>
      </c>
      <c r="D7">
        <v>140</v>
      </c>
      <c r="E7">
        <v>154</v>
      </c>
      <c r="F7">
        <v>87</v>
      </c>
      <c r="G7">
        <v>62</v>
      </c>
      <c r="H7">
        <v>112</v>
      </c>
      <c r="I7">
        <v>104</v>
      </c>
      <c r="K7">
        <f t="shared" si="0"/>
        <v>109</v>
      </c>
      <c r="M7">
        <f t="shared" si="1"/>
        <v>126.75</v>
      </c>
      <c r="N7">
        <f t="shared" si="2"/>
        <v>91.25</v>
      </c>
      <c r="Q7">
        <v>9.9</v>
      </c>
      <c r="R7">
        <f t="shared" si="3"/>
        <v>99.1</v>
      </c>
    </row>
    <row r="8" spans="1:18" x14ac:dyDescent="0.25">
      <c r="A8" t="s">
        <v>79</v>
      </c>
      <c r="B8">
        <v>60</v>
      </c>
      <c r="C8">
        <v>59</v>
      </c>
      <c r="D8">
        <v>73</v>
      </c>
      <c r="E8">
        <v>81</v>
      </c>
      <c r="F8">
        <v>105</v>
      </c>
      <c r="G8">
        <v>84</v>
      </c>
      <c r="H8">
        <v>105</v>
      </c>
      <c r="I8">
        <v>182</v>
      </c>
      <c r="K8">
        <f t="shared" si="0"/>
        <v>93.625</v>
      </c>
      <c r="M8">
        <f t="shared" si="1"/>
        <v>68.25</v>
      </c>
      <c r="N8">
        <f t="shared" si="2"/>
        <v>119</v>
      </c>
      <c r="Q8">
        <v>9.9</v>
      </c>
      <c r="R8">
        <f t="shared" si="3"/>
        <v>83.724999999999994</v>
      </c>
    </row>
    <row r="9" spans="1:18" x14ac:dyDescent="0.25">
      <c r="A9" t="s">
        <v>80</v>
      </c>
      <c r="B9">
        <v>71</v>
      </c>
      <c r="C9">
        <v>202</v>
      </c>
      <c r="D9">
        <v>217</v>
      </c>
      <c r="E9">
        <v>148</v>
      </c>
      <c r="F9">
        <v>186</v>
      </c>
      <c r="G9">
        <v>136</v>
      </c>
      <c r="H9">
        <v>93</v>
      </c>
      <c r="I9">
        <v>159</v>
      </c>
      <c r="K9">
        <f t="shared" si="0"/>
        <v>151.5</v>
      </c>
      <c r="M9">
        <f t="shared" si="1"/>
        <v>159.5</v>
      </c>
      <c r="N9">
        <f t="shared" si="2"/>
        <v>143.5</v>
      </c>
      <c r="Q9">
        <v>21.1</v>
      </c>
      <c r="R9">
        <f t="shared" si="3"/>
        <v>130.4</v>
      </c>
    </row>
    <row r="10" spans="1:18" x14ac:dyDescent="0.25">
      <c r="A10" t="s">
        <v>86</v>
      </c>
      <c r="B10">
        <v>106</v>
      </c>
      <c r="C10">
        <v>107</v>
      </c>
      <c r="D10">
        <v>113</v>
      </c>
      <c r="E10">
        <v>71</v>
      </c>
      <c r="F10">
        <v>63</v>
      </c>
      <c r="G10">
        <v>57</v>
      </c>
      <c r="H10">
        <v>60</v>
      </c>
      <c r="I10">
        <v>63</v>
      </c>
      <c r="K10">
        <f t="shared" si="0"/>
        <v>80</v>
      </c>
      <c r="M10">
        <f t="shared" si="1"/>
        <v>99.25</v>
      </c>
      <c r="N10">
        <f t="shared" si="2"/>
        <v>60.75</v>
      </c>
      <c r="Q10">
        <v>13</v>
      </c>
      <c r="R10">
        <f t="shared" si="3"/>
        <v>67</v>
      </c>
    </row>
    <row r="11" spans="1:18" x14ac:dyDescent="0.25">
      <c r="A11" t="s">
        <v>92</v>
      </c>
      <c r="B11">
        <v>65</v>
      </c>
      <c r="C11">
        <v>30.1</v>
      </c>
      <c r="D11">
        <v>47</v>
      </c>
      <c r="E11">
        <v>26.5</v>
      </c>
      <c r="F11">
        <v>50</v>
      </c>
      <c r="G11">
        <v>17.100000000000001</v>
      </c>
      <c r="H11">
        <v>57</v>
      </c>
      <c r="I11">
        <v>32.6</v>
      </c>
      <c r="K11">
        <f t="shared" si="0"/>
        <v>40.662500000000001</v>
      </c>
      <c r="M11">
        <f t="shared" si="1"/>
        <v>42.15</v>
      </c>
      <c r="N11">
        <f t="shared" si="2"/>
        <v>39.174999999999997</v>
      </c>
      <c r="Q11">
        <v>9.1</v>
      </c>
      <c r="R11">
        <f t="shared" si="3"/>
        <v>31.5625</v>
      </c>
    </row>
    <row r="12" spans="1:18" x14ac:dyDescent="0.25">
      <c r="A12" t="s">
        <v>93</v>
      </c>
      <c r="B12">
        <v>44</v>
      </c>
      <c r="C12">
        <v>147</v>
      </c>
      <c r="D12">
        <v>53</v>
      </c>
      <c r="E12">
        <v>14.7</v>
      </c>
      <c r="F12">
        <v>89</v>
      </c>
      <c r="G12">
        <v>34.5</v>
      </c>
      <c r="H12">
        <v>52</v>
      </c>
      <c r="I12">
        <v>63</v>
      </c>
      <c r="K12">
        <f t="shared" si="0"/>
        <v>62.15</v>
      </c>
      <c r="M12">
        <f t="shared" si="1"/>
        <v>64.674999999999997</v>
      </c>
      <c r="N12">
        <f t="shared" si="2"/>
        <v>59.625</v>
      </c>
      <c r="Q12">
        <v>10.6</v>
      </c>
      <c r="R12">
        <f t="shared" si="3"/>
        <v>51.55</v>
      </c>
    </row>
    <row r="13" spans="1:18" x14ac:dyDescent="0.25">
      <c r="A13" t="s">
        <v>110</v>
      </c>
      <c r="B13">
        <v>81</v>
      </c>
      <c r="C13">
        <v>70</v>
      </c>
      <c r="D13">
        <v>109</v>
      </c>
      <c r="E13">
        <v>98</v>
      </c>
      <c r="F13">
        <v>73</v>
      </c>
      <c r="G13">
        <v>83</v>
      </c>
      <c r="H13">
        <v>141</v>
      </c>
      <c r="I13">
        <v>146</v>
      </c>
      <c r="K13">
        <f t="shared" si="0"/>
        <v>100.125</v>
      </c>
      <c r="M13">
        <f t="shared" si="1"/>
        <v>89.5</v>
      </c>
      <c r="N13">
        <f t="shared" si="2"/>
        <v>110.75</v>
      </c>
      <c r="Q13">
        <v>14</v>
      </c>
      <c r="R13">
        <f t="shared" si="3"/>
        <v>86.125</v>
      </c>
    </row>
    <row r="14" spans="1:18" x14ac:dyDescent="0.25">
      <c r="A14" t="s">
        <v>120</v>
      </c>
      <c r="B14">
        <v>126</v>
      </c>
      <c r="C14">
        <v>146</v>
      </c>
      <c r="D14">
        <v>127</v>
      </c>
      <c r="E14">
        <v>104</v>
      </c>
      <c r="F14">
        <v>87</v>
      </c>
      <c r="G14">
        <v>60</v>
      </c>
      <c r="H14">
        <v>23.3</v>
      </c>
      <c r="I14">
        <v>111</v>
      </c>
      <c r="K14">
        <f t="shared" si="0"/>
        <v>98.037499999999994</v>
      </c>
      <c r="M14">
        <f t="shared" si="1"/>
        <v>125.75</v>
      </c>
      <c r="N14">
        <f t="shared" si="2"/>
        <v>70.325000000000003</v>
      </c>
      <c r="Q14">
        <v>9.1</v>
      </c>
      <c r="R14">
        <f t="shared" si="3"/>
        <v>88.9375</v>
      </c>
    </row>
    <row r="15" spans="1:18" x14ac:dyDescent="0.25">
      <c r="A15" t="s">
        <v>125</v>
      </c>
      <c r="B15">
        <v>48</v>
      </c>
      <c r="C15">
        <v>58</v>
      </c>
      <c r="D15">
        <v>61</v>
      </c>
      <c r="E15">
        <v>59</v>
      </c>
      <c r="F15">
        <v>51</v>
      </c>
      <c r="G15">
        <v>71</v>
      </c>
      <c r="H15">
        <v>80</v>
      </c>
      <c r="I15">
        <v>50</v>
      </c>
      <c r="K15">
        <f t="shared" si="0"/>
        <v>59.75</v>
      </c>
      <c r="M15">
        <f t="shared" si="1"/>
        <v>56.5</v>
      </c>
      <c r="N15">
        <f t="shared" si="2"/>
        <v>63</v>
      </c>
      <c r="Q15">
        <v>9</v>
      </c>
      <c r="R15">
        <f t="shared" si="3"/>
        <v>50.75</v>
      </c>
    </row>
    <row r="16" spans="1:18" x14ac:dyDescent="0.25">
      <c r="A16" t="s">
        <v>130</v>
      </c>
      <c r="B16">
        <v>62</v>
      </c>
      <c r="C16">
        <v>69</v>
      </c>
      <c r="D16">
        <v>53</v>
      </c>
      <c r="E16">
        <v>91</v>
      </c>
      <c r="F16">
        <v>107</v>
      </c>
      <c r="G16">
        <v>69</v>
      </c>
      <c r="H16">
        <v>137</v>
      </c>
      <c r="I16">
        <v>75</v>
      </c>
      <c r="K16">
        <f t="shared" si="0"/>
        <v>82.875</v>
      </c>
      <c r="M16">
        <f t="shared" si="1"/>
        <v>68.75</v>
      </c>
      <c r="N16">
        <f t="shared" si="2"/>
        <v>97</v>
      </c>
      <c r="Q16">
        <v>9.5</v>
      </c>
      <c r="R16">
        <f t="shared" si="3"/>
        <v>73.375</v>
      </c>
    </row>
    <row r="17" spans="1:18" x14ac:dyDescent="0.25">
      <c r="A17" t="s">
        <v>145</v>
      </c>
      <c r="B17">
        <v>83</v>
      </c>
      <c r="C17">
        <v>99</v>
      </c>
      <c r="D17">
        <v>58</v>
      </c>
      <c r="E17">
        <v>71</v>
      </c>
      <c r="F17">
        <v>68</v>
      </c>
      <c r="G17">
        <v>84</v>
      </c>
      <c r="H17">
        <v>71</v>
      </c>
      <c r="I17">
        <v>75</v>
      </c>
      <c r="K17">
        <f t="shared" si="0"/>
        <v>76.125</v>
      </c>
      <c r="M17">
        <f t="shared" si="1"/>
        <v>77.75</v>
      </c>
      <c r="N17">
        <f t="shared" si="2"/>
        <v>74.5</v>
      </c>
      <c r="Q17">
        <v>8.6999999999999993</v>
      </c>
      <c r="R17">
        <f t="shared" si="3"/>
        <v>67.424999999999997</v>
      </c>
    </row>
    <row r="18" spans="1:18" x14ac:dyDescent="0.25">
      <c r="A18" t="s">
        <v>144</v>
      </c>
      <c r="B18">
        <v>99</v>
      </c>
      <c r="C18">
        <v>192</v>
      </c>
      <c r="D18">
        <v>160</v>
      </c>
      <c r="E18">
        <v>84</v>
      </c>
      <c r="F18">
        <v>97</v>
      </c>
      <c r="G18">
        <v>208</v>
      </c>
      <c r="H18">
        <v>101</v>
      </c>
      <c r="I18">
        <v>139</v>
      </c>
      <c r="K18">
        <f t="shared" si="0"/>
        <v>135</v>
      </c>
      <c r="M18">
        <f t="shared" si="1"/>
        <v>133.75</v>
      </c>
      <c r="N18">
        <f t="shared" si="2"/>
        <v>136.25</v>
      </c>
      <c r="Q18">
        <v>9</v>
      </c>
      <c r="R18">
        <f t="shared" si="3"/>
        <v>126</v>
      </c>
    </row>
    <row r="19" spans="1:18" x14ac:dyDescent="0.25">
      <c r="A19" t="s">
        <v>132</v>
      </c>
      <c r="B19">
        <v>136</v>
      </c>
      <c r="C19">
        <v>165</v>
      </c>
      <c r="D19">
        <v>169</v>
      </c>
      <c r="E19">
        <v>62</v>
      </c>
      <c r="F19">
        <v>130</v>
      </c>
      <c r="G19">
        <v>103</v>
      </c>
      <c r="H19">
        <v>89</v>
      </c>
      <c r="I19">
        <v>81</v>
      </c>
      <c r="K19">
        <f t="shared" si="0"/>
        <v>116.875</v>
      </c>
      <c r="M19">
        <f t="shared" si="1"/>
        <v>133</v>
      </c>
      <c r="N19">
        <f t="shared" si="2"/>
        <v>100.75</v>
      </c>
      <c r="Q19">
        <v>8.5</v>
      </c>
      <c r="R19">
        <f t="shared" si="3"/>
        <v>108.375</v>
      </c>
    </row>
    <row r="20" spans="1:18" x14ac:dyDescent="0.25">
      <c r="A20" t="s">
        <v>146</v>
      </c>
      <c r="B20">
        <v>57</v>
      </c>
      <c r="C20">
        <v>122</v>
      </c>
      <c r="D20">
        <v>119</v>
      </c>
      <c r="E20">
        <v>110</v>
      </c>
      <c r="F20">
        <v>85</v>
      </c>
      <c r="G20">
        <v>106</v>
      </c>
      <c r="H20">
        <v>166</v>
      </c>
      <c r="I20">
        <v>92</v>
      </c>
      <c r="K20">
        <f t="shared" si="0"/>
        <v>107.125</v>
      </c>
      <c r="M20">
        <f t="shared" si="1"/>
        <v>102</v>
      </c>
      <c r="N20">
        <f t="shared" si="2"/>
        <v>112.25</v>
      </c>
      <c r="Q20">
        <v>11.6</v>
      </c>
      <c r="R20">
        <f>K20-Q20</f>
        <v>95.525000000000006</v>
      </c>
    </row>
    <row r="21" spans="1:18" x14ac:dyDescent="0.25">
      <c r="A21" t="s">
        <v>147</v>
      </c>
      <c r="B21">
        <v>55</v>
      </c>
      <c r="C21">
        <v>67</v>
      </c>
      <c r="D21">
        <v>55</v>
      </c>
      <c r="E21">
        <v>20.7</v>
      </c>
      <c r="F21">
        <v>63</v>
      </c>
      <c r="G21">
        <v>72</v>
      </c>
      <c r="H21">
        <v>60</v>
      </c>
      <c r="I21">
        <v>54</v>
      </c>
      <c r="K21">
        <f t="shared" si="0"/>
        <v>55.837499999999999</v>
      </c>
      <c r="M21">
        <f t="shared" si="1"/>
        <v>49.424999999999997</v>
      </c>
      <c r="N21">
        <f t="shared" si="2"/>
        <v>62.25</v>
      </c>
      <c r="Q21">
        <v>10.1</v>
      </c>
      <c r="R21">
        <f t="shared" si="3"/>
        <v>45.737499999999997</v>
      </c>
    </row>
    <row r="22" spans="1:18" x14ac:dyDescent="0.25">
      <c r="A22" t="s">
        <v>155</v>
      </c>
      <c r="B22">
        <v>170</v>
      </c>
      <c r="C22">
        <v>102</v>
      </c>
      <c r="D22">
        <v>62</v>
      </c>
      <c r="E22">
        <v>38.4</v>
      </c>
      <c r="F22">
        <v>43</v>
      </c>
      <c r="G22">
        <v>42</v>
      </c>
      <c r="H22">
        <v>53</v>
      </c>
      <c r="I22">
        <v>50</v>
      </c>
      <c r="K22">
        <f t="shared" si="0"/>
        <v>70.05</v>
      </c>
      <c r="M22">
        <f t="shared" si="1"/>
        <v>93.1</v>
      </c>
      <c r="N22">
        <f t="shared" si="2"/>
        <v>47</v>
      </c>
      <c r="Q22">
        <v>8.5</v>
      </c>
      <c r="R22">
        <f t="shared" si="3"/>
        <v>61.55</v>
      </c>
    </row>
    <row r="23" spans="1:18" x14ac:dyDescent="0.25">
      <c r="A23" t="s">
        <v>158</v>
      </c>
      <c r="B23">
        <v>24.1</v>
      </c>
      <c r="C23">
        <v>18.8</v>
      </c>
      <c r="D23">
        <v>59</v>
      </c>
      <c r="E23">
        <v>114</v>
      </c>
      <c r="F23">
        <v>127</v>
      </c>
      <c r="G23">
        <v>92</v>
      </c>
      <c r="H23">
        <v>68</v>
      </c>
      <c r="I23">
        <v>73</v>
      </c>
      <c r="K23">
        <f t="shared" si="0"/>
        <v>71.987499999999997</v>
      </c>
      <c r="M23">
        <f t="shared" si="1"/>
        <v>53.975000000000001</v>
      </c>
      <c r="N23">
        <f t="shared" si="2"/>
        <v>90</v>
      </c>
      <c r="Q23">
        <v>10</v>
      </c>
      <c r="R23">
        <f t="shared" si="3"/>
        <v>61.987499999999997</v>
      </c>
    </row>
    <row r="24" spans="1:18" x14ac:dyDescent="0.25">
      <c r="A24" t="s">
        <v>162</v>
      </c>
      <c r="B24">
        <v>100</v>
      </c>
      <c r="C24">
        <v>82</v>
      </c>
      <c r="D24">
        <v>87</v>
      </c>
      <c r="E24">
        <v>91</v>
      </c>
      <c r="F24">
        <v>60</v>
      </c>
      <c r="G24">
        <v>100</v>
      </c>
      <c r="H24">
        <v>34.5</v>
      </c>
      <c r="I24">
        <v>65</v>
      </c>
      <c r="K24">
        <f>AVERAGE(B24:I24)</f>
        <v>77.4375</v>
      </c>
      <c r="M24">
        <f>AVERAGE(C24:E24)</f>
        <v>86.666666666666671</v>
      </c>
      <c r="N24">
        <f t="shared" si="2"/>
        <v>64.875</v>
      </c>
      <c r="Q24">
        <v>10.6</v>
      </c>
      <c r="R24">
        <f t="shared" si="3"/>
        <v>66.837500000000006</v>
      </c>
    </row>
    <row r="25" spans="1:18" x14ac:dyDescent="0.25">
      <c r="A25" t="s">
        <v>160</v>
      </c>
      <c r="B25">
        <v>47</v>
      </c>
      <c r="C25">
        <v>153</v>
      </c>
      <c r="D25">
        <v>71</v>
      </c>
      <c r="E25">
        <v>139</v>
      </c>
      <c r="F25">
        <v>109</v>
      </c>
      <c r="G25">
        <v>76</v>
      </c>
      <c r="H25">
        <v>79</v>
      </c>
      <c r="I25">
        <v>57</v>
      </c>
      <c r="K25">
        <f t="shared" ref="K25:K30" si="4">AVERAGE(B25:I25)</f>
        <v>91.375</v>
      </c>
      <c r="M25">
        <f t="shared" ref="M25:M30" si="5">AVERAGE(B25:E25)</f>
        <v>102.5</v>
      </c>
      <c r="N25">
        <f t="shared" si="2"/>
        <v>80.25</v>
      </c>
      <c r="Q25">
        <v>17.8</v>
      </c>
      <c r="R25">
        <f t="shared" si="3"/>
        <v>73.575000000000003</v>
      </c>
    </row>
    <row r="26" spans="1:18" x14ac:dyDescent="0.25">
      <c r="A26" t="s">
        <v>173</v>
      </c>
      <c r="B26">
        <v>112</v>
      </c>
      <c r="C26">
        <v>103</v>
      </c>
      <c r="D26">
        <v>74</v>
      </c>
      <c r="E26">
        <v>101</v>
      </c>
      <c r="F26">
        <v>129</v>
      </c>
      <c r="G26">
        <v>108</v>
      </c>
      <c r="H26">
        <v>86</v>
      </c>
      <c r="I26">
        <v>73</v>
      </c>
      <c r="K26">
        <f t="shared" si="4"/>
        <v>98.25</v>
      </c>
      <c r="M26">
        <f t="shared" si="5"/>
        <v>97.5</v>
      </c>
      <c r="N26">
        <f t="shared" si="2"/>
        <v>99</v>
      </c>
      <c r="Q26">
        <v>6.2</v>
      </c>
      <c r="R26">
        <f t="shared" si="3"/>
        <v>92.05</v>
      </c>
    </row>
    <row r="27" spans="1:18" x14ac:dyDescent="0.25">
      <c r="A27" t="s">
        <v>174</v>
      </c>
      <c r="B27">
        <v>74</v>
      </c>
      <c r="C27">
        <v>111</v>
      </c>
      <c r="D27">
        <v>48</v>
      </c>
      <c r="E27">
        <v>67</v>
      </c>
      <c r="F27">
        <v>78</v>
      </c>
      <c r="G27">
        <v>49</v>
      </c>
      <c r="H27">
        <v>60</v>
      </c>
      <c r="I27">
        <v>53</v>
      </c>
      <c r="K27">
        <f t="shared" si="4"/>
        <v>67.5</v>
      </c>
      <c r="M27">
        <f t="shared" si="5"/>
        <v>75</v>
      </c>
      <c r="N27">
        <f t="shared" si="2"/>
        <v>60</v>
      </c>
      <c r="Q27">
        <v>10.4</v>
      </c>
      <c r="R27">
        <f t="shared" si="3"/>
        <v>57.1</v>
      </c>
    </row>
    <row r="28" spans="1:18" x14ac:dyDescent="0.25">
      <c r="A28" t="s">
        <v>175</v>
      </c>
      <c r="B28">
        <v>51</v>
      </c>
      <c r="C28">
        <v>121</v>
      </c>
      <c r="D28">
        <v>72</v>
      </c>
      <c r="E28">
        <v>56</v>
      </c>
      <c r="F28">
        <v>58</v>
      </c>
      <c r="G28">
        <v>68</v>
      </c>
      <c r="H28">
        <v>81</v>
      </c>
      <c r="I28">
        <v>83</v>
      </c>
      <c r="K28">
        <f t="shared" si="4"/>
        <v>73.75</v>
      </c>
      <c r="M28">
        <f t="shared" si="5"/>
        <v>75</v>
      </c>
      <c r="N28">
        <f t="shared" si="2"/>
        <v>72.5</v>
      </c>
      <c r="Q28">
        <v>7.9</v>
      </c>
      <c r="R28">
        <f t="shared" si="3"/>
        <v>65.849999999999994</v>
      </c>
    </row>
    <row r="29" spans="1:18" x14ac:dyDescent="0.25">
      <c r="A29" t="s">
        <v>187</v>
      </c>
      <c r="B29">
        <v>132</v>
      </c>
      <c r="C29">
        <v>91</v>
      </c>
      <c r="D29">
        <v>113</v>
      </c>
      <c r="E29">
        <v>59</v>
      </c>
      <c r="F29">
        <v>109</v>
      </c>
      <c r="G29">
        <v>104</v>
      </c>
      <c r="H29">
        <v>74</v>
      </c>
      <c r="I29">
        <v>83</v>
      </c>
      <c r="K29">
        <f t="shared" si="4"/>
        <v>95.625</v>
      </c>
      <c r="M29">
        <f t="shared" si="5"/>
        <v>98.75</v>
      </c>
      <c r="N29">
        <f t="shared" si="2"/>
        <v>92.5</v>
      </c>
      <c r="Q29">
        <v>9</v>
      </c>
      <c r="R29">
        <f t="shared" si="3"/>
        <v>86.625</v>
      </c>
    </row>
    <row r="30" spans="1:18" x14ac:dyDescent="0.25">
      <c r="A30" t="s">
        <v>186</v>
      </c>
      <c r="B30">
        <v>50</v>
      </c>
      <c r="C30">
        <v>55</v>
      </c>
      <c r="D30">
        <v>174</v>
      </c>
      <c r="E30">
        <v>78</v>
      </c>
      <c r="F30">
        <v>38.200000000000003</v>
      </c>
      <c r="G30">
        <v>36.6</v>
      </c>
      <c r="H30">
        <v>38.1</v>
      </c>
      <c r="I30">
        <v>25.6</v>
      </c>
      <c r="K30">
        <f t="shared" si="4"/>
        <v>61.937500000000007</v>
      </c>
      <c r="M30">
        <f t="shared" si="5"/>
        <v>89.25</v>
      </c>
      <c r="N30">
        <f t="shared" si="2"/>
        <v>34.625</v>
      </c>
      <c r="Q30">
        <v>9.1</v>
      </c>
      <c r="R30">
        <f t="shared" si="3"/>
        <v>52.837500000000006</v>
      </c>
    </row>
    <row r="32" spans="1:18" s="25" customFormat="1" x14ac:dyDescent="0.25">
      <c r="A32" s="25" t="s">
        <v>1</v>
      </c>
    </row>
    <row r="33" spans="1:18" x14ac:dyDescent="0.25">
      <c r="A33" t="s">
        <v>3</v>
      </c>
      <c r="B33">
        <v>116</v>
      </c>
      <c r="C33">
        <v>105</v>
      </c>
      <c r="D33">
        <v>150</v>
      </c>
      <c r="E33">
        <v>85</v>
      </c>
      <c r="F33">
        <v>110</v>
      </c>
      <c r="G33">
        <v>156</v>
      </c>
      <c r="H33">
        <v>105</v>
      </c>
      <c r="I33">
        <v>101</v>
      </c>
      <c r="K33">
        <f t="shared" si="0"/>
        <v>116</v>
      </c>
      <c r="M33">
        <f t="shared" si="1"/>
        <v>114</v>
      </c>
      <c r="N33">
        <f t="shared" si="2"/>
        <v>118</v>
      </c>
      <c r="Q33">
        <v>13</v>
      </c>
      <c r="R33">
        <f t="shared" si="3"/>
        <v>103</v>
      </c>
    </row>
    <row r="34" spans="1:18" x14ac:dyDescent="0.25">
      <c r="A34" t="s">
        <v>13</v>
      </c>
      <c r="B34">
        <v>76</v>
      </c>
      <c r="C34">
        <v>33.299999999999997</v>
      </c>
      <c r="D34">
        <v>50</v>
      </c>
      <c r="E34">
        <v>90</v>
      </c>
      <c r="F34">
        <v>104</v>
      </c>
      <c r="G34">
        <v>101</v>
      </c>
      <c r="H34">
        <v>75</v>
      </c>
      <c r="I34">
        <v>131</v>
      </c>
      <c r="K34">
        <f t="shared" si="0"/>
        <v>82.537499999999994</v>
      </c>
      <c r="M34">
        <f t="shared" si="1"/>
        <v>62.325000000000003</v>
      </c>
      <c r="N34">
        <f t="shared" si="2"/>
        <v>102.75</v>
      </c>
      <c r="Q34">
        <v>8.5</v>
      </c>
      <c r="R34">
        <f t="shared" si="3"/>
        <v>74.037499999999994</v>
      </c>
    </row>
    <row r="35" spans="1:18" x14ac:dyDescent="0.25">
      <c r="A35" t="s">
        <v>68</v>
      </c>
      <c r="B35">
        <v>80</v>
      </c>
      <c r="C35">
        <v>63</v>
      </c>
      <c r="D35">
        <v>42</v>
      </c>
      <c r="E35">
        <v>62</v>
      </c>
      <c r="F35">
        <v>40</v>
      </c>
      <c r="G35">
        <v>46</v>
      </c>
      <c r="H35">
        <v>45</v>
      </c>
      <c r="I35">
        <v>237</v>
      </c>
      <c r="K35">
        <f t="shared" si="0"/>
        <v>76.875</v>
      </c>
      <c r="M35">
        <f t="shared" si="1"/>
        <v>61.75</v>
      </c>
      <c r="N35">
        <f t="shared" si="2"/>
        <v>92</v>
      </c>
      <c r="Q35">
        <v>6.9</v>
      </c>
      <c r="R35">
        <f t="shared" si="3"/>
        <v>69.974999999999994</v>
      </c>
    </row>
    <row r="36" spans="1:18" x14ac:dyDescent="0.25">
      <c r="A36" t="s">
        <v>69</v>
      </c>
      <c r="B36">
        <v>89</v>
      </c>
      <c r="C36">
        <v>82</v>
      </c>
      <c r="D36">
        <v>69</v>
      </c>
      <c r="E36">
        <v>81</v>
      </c>
      <c r="F36">
        <v>112</v>
      </c>
      <c r="G36">
        <v>109</v>
      </c>
      <c r="H36">
        <v>44</v>
      </c>
      <c r="I36">
        <v>50</v>
      </c>
      <c r="K36">
        <f t="shared" si="0"/>
        <v>79.5</v>
      </c>
      <c r="M36">
        <f t="shared" si="1"/>
        <v>80.25</v>
      </c>
      <c r="N36">
        <f t="shared" si="2"/>
        <v>78.75</v>
      </c>
      <c r="Q36">
        <v>9</v>
      </c>
      <c r="R36">
        <f t="shared" si="3"/>
        <v>70.5</v>
      </c>
    </row>
    <row r="37" spans="1:18" x14ac:dyDescent="0.25">
      <c r="A37" t="s">
        <v>70</v>
      </c>
      <c r="B37">
        <v>69</v>
      </c>
      <c r="C37">
        <v>64</v>
      </c>
      <c r="D37">
        <v>101</v>
      </c>
      <c r="E37">
        <v>101</v>
      </c>
      <c r="F37">
        <v>37.1</v>
      </c>
      <c r="G37">
        <v>35.200000000000003</v>
      </c>
      <c r="H37">
        <v>31.7</v>
      </c>
      <c r="I37">
        <v>75</v>
      </c>
      <c r="K37">
        <f t="shared" si="0"/>
        <v>64.25</v>
      </c>
      <c r="M37">
        <f t="shared" si="1"/>
        <v>83.75</v>
      </c>
      <c r="N37">
        <f t="shared" si="2"/>
        <v>44.75</v>
      </c>
      <c r="Q37">
        <v>7.6</v>
      </c>
      <c r="R37">
        <f t="shared" si="3"/>
        <v>56.65</v>
      </c>
    </row>
    <row r="38" spans="1:18" x14ac:dyDescent="0.25">
      <c r="A38" t="s">
        <v>74</v>
      </c>
      <c r="B38">
        <v>132</v>
      </c>
      <c r="C38">
        <v>83</v>
      </c>
      <c r="D38">
        <v>76</v>
      </c>
      <c r="E38">
        <v>178</v>
      </c>
      <c r="F38">
        <v>71</v>
      </c>
      <c r="G38">
        <v>78</v>
      </c>
      <c r="H38">
        <v>94</v>
      </c>
      <c r="I38">
        <v>95</v>
      </c>
      <c r="K38">
        <f t="shared" si="0"/>
        <v>100.875</v>
      </c>
      <c r="M38">
        <f t="shared" si="1"/>
        <v>117.25</v>
      </c>
      <c r="N38">
        <f t="shared" si="2"/>
        <v>84.5</v>
      </c>
      <c r="Q38">
        <v>8.1999999999999993</v>
      </c>
      <c r="R38">
        <f t="shared" si="3"/>
        <v>92.674999999999997</v>
      </c>
    </row>
    <row r="39" spans="1:18" x14ac:dyDescent="0.25">
      <c r="A39" t="s">
        <v>79</v>
      </c>
      <c r="B39">
        <v>92</v>
      </c>
      <c r="C39">
        <v>92</v>
      </c>
      <c r="D39">
        <v>89</v>
      </c>
      <c r="E39">
        <v>84</v>
      </c>
      <c r="F39">
        <v>101</v>
      </c>
      <c r="G39">
        <v>101</v>
      </c>
      <c r="H39">
        <v>72</v>
      </c>
      <c r="I39">
        <v>112</v>
      </c>
      <c r="K39">
        <f t="shared" si="0"/>
        <v>92.875</v>
      </c>
      <c r="M39">
        <f t="shared" si="1"/>
        <v>89.25</v>
      </c>
      <c r="N39">
        <f t="shared" si="2"/>
        <v>96.5</v>
      </c>
      <c r="Q39">
        <v>8</v>
      </c>
      <c r="R39">
        <f t="shared" si="3"/>
        <v>84.875</v>
      </c>
    </row>
    <row r="40" spans="1:18" x14ac:dyDescent="0.25">
      <c r="A40" t="s">
        <v>80</v>
      </c>
      <c r="B40">
        <v>136</v>
      </c>
      <c r="C40">
        <v>52</v>
      </c>
      <c r="D40">
        <v>110</v>
      </c>
      <c r="E40">
        <v>170</v>
      </c>
      <c r="F40">
        <v>190</v>
      </c>
      <c r="G40">
        <v>176</v>
      </c>
      <c r="H40">
        <v>214</v>
      </c>
      <c r="I40">
        <v>212</v>
      </c>
      <c r="K40">
        <f t="shared" si="0"/>
        <v>157.5</v>
      </c>
      <c r="M40">
        <f t="shared" si="1"/>
        <v>117</v>
      </c>
      <c r="N40">
        <f t="shared" si="2"/>
        <v>198</v>
      </c>
      <c r="Q40">
        <v>18.7</v>
      </c>
      <c r="R40">
        <f t="shared" si="3"/>
        <v>138.80000000000001</v>
      </c>
    </row>
    <row r="41" spans="1:18" x14ac:dyDescent="0.25">
      <c r="A41" t="s">
        <v>86</v>
      </c>
      <c r="B41">
        <v>85</v>
      </c>
      <c r="C41">
        <v>59</v>
      </c>
      <c r="D41">
        <v>29.4</v>
      </c>
      <c r="E41">
        <v>50</v>
      </c>
      <c r="F41">
        <v>55</v>
      </c>
      <c r="G41">
        <v>63</v>
      </c>
      <c r="H41">
        <v>77</v>
      </c>
      <c r="I41">
        <v>70</v>
      </c>
      <c r="K41">
        <f t="shared" si="0"/>
        <v>61.05</v>
      </c>
      <c r="M41">
        <f t="shared" si="1"/>
        <v>55.85</v>
      </c>
      <c r="N41">
        <f t="shared" si="2"/>
        <v>66.25</v>
      </c>
      <c r="Q41">
        <v>10.8</v>
      </c>
      <c r="R41">
        <f t="shared" si="3"/>
        <v>50.25</v>
      </c>
    </row>
    <row r="42" spans="1:18" x14ac:dyDescent="0.25">
      <c r="A42" t="s">
        <v>92</v>
      </c>
      <c r="B42">
        <v>13.6</v>
      </c>
      <c r="C42">
        <v>57</v>
      </c>
      <c r="D42">
        <v>38</v>
      </c>
      <c r="E42">
        <v>63</v>
      </c>
      <c r="F42">
        <v>34.200000000000003</v>
      </c>
      <c r="G42">
        <v>30.1</v>
      </c>
      <c r="H42">
        <v>68</v>
      </c>
      <c r="I42">
        <v>33.9</v>
      </c>
      <c r="K42">
        <f t="shared" si="0"/>
        <v>42.224999999999994</v>
      </c>
      <c r="M42">
        <f t="shared" si="1"/>
        <v>42.9</v>
      </c>
      <c r="N42">
        <f t="shared" si="2"/>
        <v>41.550000000000004</v>
      </c>
      <c r="Q42">
        <v>7.4</v>
      </c>
      <c r="R42">
        <f t="shared" si="3"/>
        <v>34.824999999999996</v>
      </c>
    </row>
    <row r="43" spans="1:18" x14ac:dyDescent="0.25">
      <c r="A43" t="s">
        <v>93</v>
      </c>
      <c r="B43">
        <v>107</v>
      </c>
      <c r="C43">
        <v>69</v>
      </c>
      <c r="D43">
        <v>58</v>
      </c>
      <c r="E43">
        <v>52</v>
      </c>
      <c r="F43">
        <v>24.5</v>
      </c>
      <c r="G43">
        <v>27.7</v>
      </c>
      <c r="H43">
        <v>44</v>
      </c>
      <c r="I43">
        <v>134</v>
      </c>
      <c r="K43">
        <f t="shared" si="0"/>
        <v>64.525000000000006</v>
      </c>
      <c r="M43">
        <f t="shared" si="1"/>
        <v>71.5</v>
      </c>
      <c r="N43">
        <f t="shared" si="2"/>
        <v>57.55</v>
      </c>
      <c r="Q43">
        <v>8.5</v>
      </c>
      <c r="R43">
        <f t="shared" si="3"/>
        <v>56.025000000000006</v>
      </c>
    </row>
    <row r="44" spans="1:18" x14ac:dyDescent="0.25">
      <c r="A44" t="s">
        <v>110</v>
      </c>
      <c r="B44">
        <v>91</v>
      </c>
      <c r="C44">
        <v>99</v>
      </c>
      <c r="D44">
        <v>143</v>
      </c>
      <c r="E44">
        <v>212</v>
      </c>
      <c r="F44">
        <v>125</v>
      </c>
      <c r="G44">
        <v>202</v>
      </c>
      <c r="H44">
        <v>78</v>
      </c>
      <c r="I44">
        <v>239</v>
      </c>
      <c r="K44">
        <f t="shared" si="0"/>
        <v>148.625</v>
      </c>
      <c r="M44">
        <f t="shared" si="1"/>
        <v>136.25</v>
      </c>
      <c r="N44">
        <f t="shared" si="2"/>
        <v>161</v>
      </c>
      <c r="Q44">
        <v>11.6</v>
      </c>
      <c r="R44">
        <f t="shared" si="3"/>
        <v>137.02500000000001</v>
      </c>
    </row>
    <row r="45" spans="1:18" x14ac:dyDescent="0.25">
      <c r="A45" t="s">
        <v>120</v>
      </c>
      <c r="B45">
        <v>93</v>
      </c>
      <c r="C45">
        <v>121</v>
      </c>
      <c r="D45">
        <v>73</v>
      </c>
      <c r="E45" s="7"/>
      <c r="F45">
        <v>80</v>
      </c>
      <c r="G45">
        <v>108</v>
      </c>
      <c r="H45">
        <v>92</v>
      </c>
      <c r="I45">
        <v>86</v>
      </c>
      <c r="K45">
        <f t="shared" si="0"/>
        <v>93.285714285714292</v>
      </c>
      <c r="M45">
        <f t="shared" si="1"/>
        <v>95.666666666666671</v>
      </c>
      <c r="N45">
        <f t="shared" si="2"/>
        <v>91.5</v>
      </c>
      <c r="Q45">
        <v>7.2</v>
      </c>
      <c r="R45">
        <f t="shared" si="3"/>
        <v>86.085714285714289</v>
      </c>
    </row>
    <row r="46" spans="1:18" x14ac:dyDescent="0.25">
      <c r="A46" t="s">
        <v>125</v>
      </c>
      <c r="B46">
        <v>38.299999999999997</v>
      </c>
      <c r="C46">
        <v>84</v>
      </c>
      <c r="D46">
        <v>56</v>
      </c>
      <c r="E46">
        <v>69</v>
      </c>
      <c r="F46">
        <v>22.3</v>
      </c>
      <c r="G46">
        <v>58</v>
      </c>
      <c r="H46">
        <v>51</v>
      </c>
      <c r="I46">
        <v>30.2</v>
      </c>
      <c r="K46">
        <f t="shared" si="0"/>
        <v>51.1</v>
      </c>
      <c r="M46">
        <f t="shared" si="1"/>
        <v>61.825000000000003</v>
      </c>
      <c r="N46">
        <f t="shared" si="2"/>
        <v>40.375</v>
      </c>
      <c r="Q46">
        <v>7.2</v>
      </c>
      <c r="R46">
        <f t="shared" si="3"/>
        <v>43.9</v>
      </c>
    </row>
    <row r="47" spans="1:18" x14ac:dyDescent="0.25">
      <c r="A47" t="s">
        <v>130</v>
      </c>
      <c r="B47">
        <v>96</v>
      </c>
      <c r="C47">
        <v>68</v>
      </c>
      <c r="D47">
        <v>82</v>
      </c>
      <c r="E47">
        <v>89</v>
      </c>
      <c r="F47">
        <v>73</v>
      </c>
      <c r="G47">
        <v>121</v>
      </c>
      <c r="H47">
        <v>118</v>
      </c>
      <c r="I47">
        <v>67</v>
      </c>
      <c r="K47">
        <f t="shared" si="0"/>
        <v>89.25</v>
      </c>
      <c r="M47">
        <f t="shared" si="1"/>
        <v>83.75</v>
      </c>
      <c r="N47">
        <f t="shared" si="2"/>
        <v>94.75</v>
      </c>
      <c r="Q47">
        <v>7.7</v>
      </c>
      <c r="R47">
        <f t="shared" si="3"/>
        <v>81.55</v>
      </c>
    </row>
    <row r="48" spans="1:18" x14ac:dyDescent="0.25">
      <c r="A48" t="s">
        <v>145</v>
      </c>
      <c r="B48">
        <v>117</v>
      </c>
      <c r="C48">
        <v>32.5</v>
      </c>
      <c r="D48">
        <v>60</v>
      </c>
      <c r="E48">
        <v>63</v>
      </c>
      <c r="F48">
        <v>83</v>
      </c>
      <c r="G48">
        <v>103</v>
      </c>
      <c r="H48">
        <v>55</v>
      </c>
      <c r="I48">
        <v>69</v>
      </c>
      <c r="K48">
        <f t="shared" si="0"/>
        <v>72.8125</v>
      </c>
      <c r="M48">
        <f t="shared" si="1"/>
        <v>68.125</v>
      </c>
      <c r="N48">
        <f t="shared" si="2"/>
        <v>77.5</v>
      </c>
      <c r="Q48">
        <v>6.7</v>
      </c>
      <c r="R48">
        <f t="shared" si="3"/>
        <v>66.112499999999997</v>
      </c>
    </row>
    <row r="49" spans="1:18" x14ac:dyDescent="0.25">
      <c r="A49" t="s">
        <v>144</v>
      </c>
      <c r="B49">
        <v>40</v>
      </c>
      <c r="C49">
        <v>37.4</v>
      </c>
      <c r="D49">
        <v>53</v>
      </c>
      <c r="E49">
        <v>37</v>
      </c>
      <c r="F49">
        <v>73</v>
      </c>
      <c r="G49">
        <v>128</v>
      </c>
      <c r="H49">
        <v>106</v>
      </c>
      <c r="I49">
        <v>35.5</v>
      </c>
      <c r="K49">
        <f t="shared" si="0"/>
        <v>63.737499999999997</v>
      </c>
      <c r="M49">
        <f t="shared" si="1"/>
        <v>41.85</v>
      </c>
      <c r="N49">
        <f t="shared" si="2"/>
        <v>85.625</v>
      </c>
      <c r="Q49">
        <v>7</v>
      </c>
      <c r="R49">
        <f t="shared" si="3"/>
        <v>56.737499999999997</v>
      </c>
    </row>
    <row r="50" spans="1:18" x14ac:dyDescent="0.25">
      <c r="A50" t="s">
        <v>132</v>
      </c>
      <c r="B50">
        <v>61</v>
      </c>
      <c r="C50">
        <v>32.6</v>
      </c>
      <c r="D50">
        <v>70</v>
      </c>
      <c r="E50">
        <v>82</v>
      </c>
      <c r="F50">
        <v>56</v>
      </c>
      <c r="G50">
        <v>102</v>
      </c>
      <c r="H50">
        <v>98</v>
      </c>
      <c r="I50">
        <v>55</v>
      </c>
      <c r="K50">
        <f t="shared" si="0"/>
        <v>69.575000000000003</v>
      </c>
      <c r="M50">
        <f t="shared" si="1"/>
        <v>61.4</v>
      </c>
      <c r="N50">
        <f t="shared" si="2"/>
        <v>77.75</v>
      </c>
      <c r="Q50">
        <v>6.4</v>
      </c>
      <c r="R50">
        <f t="shared" si="3"/>
        <v>63.175000000000004</v>
      </c>
    </row>
    <row r="51" spans="1:18" x14ac:dyDescent="0.25">
      <c r="A51" t="s">
        <v>146</v>
      </c>
      <c r="B51">
        <v>130</v>
      </c>
      <c r="C51">
        <v>110</v>
      </c>
      <c r="D51">
        <v>130</v>
      </c>
      <c r="E51">
        <v>107</v>
      </c>
      <c r="F51">
        <v>132</v>
      </c>
      <c r="G51">
        <v>149</v>
      </c>
      <c r="H51">
        <v>118</v>
      </c>
      <c r="I51">
        <v>112</v>
      </c>
      <c r="K51">
        <f t="shared" si="0"/>
        <v>123.5</v>
      </c>
      <c r="M51">
        <f t="shared" si="1"/>
        <v>119.25</v>
      </c>
      <c r="N51">
        <f t="shared" si="2"/>
        <v>127.75</v>
      </c>
      <c r="Q51">
        <v>9.4</v>
      </c>
      <c r="R51">
        <f t="shared" si="3"/>
        <v>114.1</v>
      </c>
    </row>
    <row r="52" spans="1:18" x14ac:dyDescent="0.25">
      <c r="A52" t="s">
        <v>147</v>
      </c>
      <c r="B52">
        <v>54</v>
      </c>
      <c r="C52">
        <v>47</v>
      </c>
      <c r="D52">
        <v>49</v>
      </c>
      <c r="E52">
        <v>33.4</v>
      </c>
      <c r="F52">
        <v>72</v>
      </c>
      <c r="G52">
        <v>46</v>
      </c>
      <c r="H52">
        <v>44</v>
      </c>
      <c r="I52">
        <v>37.200000000000003</v>
      </c>
      <c r="K52">
        <f t="shared" si="0"/>
        <v>47.824999999999996</v>
      </c>
      <c r="M52">
        <f t="shared" si="1"/>
        <v>45.85</v>
      </c>
      <c r="N52">
        <f t="shared" si="2"/>
        <v>49.8</v>
      </c>
      <c r="Q52">
        <v>8.5</v>
      </c>
      <c r="R52">
        <f t="shared" si="3"/>
        <v>39.324999999999996</v>
      </c>
    </row>
    <row r="53" spans="1:18" x14ac:dyDescent="0.25">
      <c r="A53" t="s">
        <v>155</v>
      </c>
      <c r="B53">
        <v>98</v>
      </c>
      <c r="C53">
        <v>34.6</v>
      </c>
      <c r="D53">
        <v>111</v>
      </c>
      <c r="E53" s="7"/>
      <c r="F53">
        <v>99</v>
      </c>
      <c r="G53">
        <v>23</v>
      </c>
      <c r="H53">
        <v>28.8</v>
      </c>
      <c r="I53">
        <v>95</v>
      </c>
      <c r="K53">
        <f t="shared" si="0"/>
        <v>69.914285714285725</v>
      </c>
      <c r="M53">
        <f t="shared" si="1"/>
        <v>81.2</v>
      </c>
      <c r="N53">
        <f t="shared" si="2"/>
        <v>61.45</v>
      </c>
      <c r="Q53">
        <v>6.6</v>
      </c>
      <c r="R53">
        <f t="shared" si="3"/>
        <v>63.314285714285724</v>
      </c>
    </row>
    <row r="54" spans="1:18" x14ac:dyDescent="0.25">
      <c r="A54" t="s">
        <v>158</v>
      </c>
      <c r="B54">
        <v>77</v>
      </c>
      <c r="C54">
        <v>146</v>
      </c>
      <c r="D54">
        <v>121</v>
      </c>
      <c r="E54">
        <v>100</v>
      </c>
      <c r="F54">
        <v>53</v>
      </c>
      <c r="G54">
        <v>111</v>
      </c>
      <c r="H54">
        <v>93</v>
      </c>
      <c r="I54">
        <v>35</v>
      </c>
      <c r="K54">
        <f t="shared" si="0"/>
        <v>92</v>
      </c>
      <c r="M54">
        <f t="shared" si="1"/>
        <v>111</v>
      </c>
      <c r="N54">
        <f t="shared" si="2"/>
        <v>73</v>
      </c>
      <c r="Q54">
        <v>8.1999999999999993</v>
      </c>
      <c r="R54">
        <f t="shared" si="3"/>
        <v>83.8</v>
      </c>
    </row>
    <row r="55" spans="1:18" x14ac:dyDescent="0.25">
      <c r="A55" t="s">
        <v>162</v>
      </c>
      <c r="B55">
        <v>42</v>
      </c>
      <c r="C55">
        <v>78</v>
      </c>
      <c r="D55">
        <v>50</v>
      </c>
      <c r="E55">
        <v>44</v>
      </c>
      <c r="F55">
        <v>67</v>
      </c>
      <c r="G55">
        <v>70</v>
      </c>
      <c r="H55">
        <v>213</v>
      </c>
      <c r="I55">
        <v>81</v>
      </c>
      <c r="K55">
        <f t="shared" si="0"/>
        <v>80.625</v>
      </c>
      <c r="M55">
        <f t="shared" si="1"/>
        <v>53.5</v>
      </c>
      <c r="N55">
        <f t="shared" si="2"/>
        <v>107.75</v>
      </c>
      <c r="Q55">
        <v>8.4</v>
      </c>
      <c r="R55">
        <f t="shared" si="3"/>
        <v>72.224999999999994</v>
      </c>
    </row>
    <row r="56" spans="1:18" x14ac:dyDescent="0.25">
      <c r="A56" t="s">
        <v>160</v>
      </c>
      <c r="B56">
        <v>79</v>
      </c>
      <c r="C56">
        <v>115</v>
      </c>
      <c r="D56">
        <v>157</v>
      </c>
      <c r="E56">
        <v>99</v>
      </c>
      <c r="F56">
        <v>97</v>
      </c>
      <c r="G56">
        <v>16.2</v>
      </c>
      <c r="H56">
        <v>87</v>
      </c>
      <c r="I56">
        <v>77</v>
      </c>
      <c r="K56">
        <f t="shared" ref="K56:K61" si="6">AVERAGE(B56:I56)</f>
        <v>90.9</v>
      </c>
      <c r="M56">
        <f t="shared" ref="M56:M61" si="7">AVERAGE(B56:E56)</f>
        <v>112.5</v>
      </c>
      <c r="N56">
        <f t="shared" ref="N56:N61" si="8">AVERAGE(F56:I56)</f>
        <v>69.3</v>
      </c>
      <c r="Q56">
        <v>10.6</v>
      </c>
      <c r="R56">
        <f t="shared" ref="R56:R61" si="9">K56-Q56</f>
        <v>80.300000000000011</v>
      </c>
    </row>
    <row r="57" spans="1:18" x14ac:dyDescent="0.25">
      <c r="A57" t="s">
        <v>173</v>
      </c>
      <c r="B57">
        <v>97</v>
      </c>
      <c r="C57">
        <v>25.4</v>
      </c>
      <c r="D57">
        <v>42</v>
      </c>
      <c r="E57">
        <v>106</v>
      </c>
      <c r="F57">
        <v>60</v>
      </c>
      <c r="G57">
        <v>38.9</v>
      </c>
      <c r="H57">
        <v>46</v>
      </c>
      <c r="I57">
        <v>58</v>
      </c>
      <c r="K57">
        <f t="shared" si="6"/>
        <v>59.162499999999994</v>
      </c>
      <c r="M57">
        <f t="shared" si="7"/>
        <v>67.599999999999994</v>
      </c>
      <c r="N57">
        <f t="shared" si="8"/>
        <v>50.725000000000001</v>
      </c>
      <c r="Q57">
        <v>4.4000000000000004</v>
      </c>
      <c r="R57">
        <f t="shared" si="9"/>
        <v>54.762499999999996</v>
      </c>
    </row>
    <row r="58" spans="1:18" x14ac:dyDescent="0.25">
      <c r="A58" t="s">
        <v>174</v>
      </c>
      <c r="B58">
        <v>106</v>
      </c>
      <c r="C58">
        <v>85</v>
      </c>
      <c r="D58">
        <v>115</v>
      </c>
      <c r="E58">
        <v>129</v>
      </c>
      <c r="F58">
        <v>113</v>
      </c>
      <c r="G58">
        <v>101</v>
      </c>
      <c r="H58">
        <v>53</v>
      </c>
      <c r="K58">
        <f t="shared" si="6"/>
        <v>100.28571428571429</v>
      </c>
      <c r="M58">
        <f t="shared" si="7"/>
        <v>108.75</v>
      </c>
      <c r="N58">
        <f t="shared" si="8"/>
        <v>89</v>
      </c>
      <c r="Q58">
        <v>8.1999999999999993</v>
      </c>
      <c r="R58">
        <f t="shared" si="9"/>
        <v>92.085714285714289</v>
      </c>
    </row>
    <row r="59" spans="1:18" x14ac:dyDescent="0.25">
      <c r="A59" t="s">
        <v>175</v>
      </c>
      <c r="B59">
        <v>133</v>
      </c>
      <c r="C59">
        <v>111</v>
      </c>
      <c r="D59">
        <v>106</v>
      </c>
      <c r="E59">
        <v>80</v>
      </c>
      <c r="F59">
        <v>59</v>
      </c>
      <c r="G59">
        <v>74</v>
      </c>
      <c r="H59">
        <v>62</v>
      </c>
      <c r="I59">
        <v>96</v>
      </c>
      <c r="K59">
        <f t="shared" si="6"/>
        <v>90.125</v>
      </c>
      <c r="M59">
        <f t="shared" si="7"/>
        <v>107.5</v>
      </c>
      <c r="N59">
        <f t="shared" si="8"/>
        <v>72.75</v>
      </c>
      <c r="Q59">
        <v>6</v>
      </c>
      <c r="R59">
        <f t="shared" si="9"/>
        <v>84.125</v>
      </c>
    </row>
    <row r="60" spans="1:18" x14ac:dyDescent="0.25">
      <c r="A60" t="s">
        <v>187</v>
      </c>
      <c r="B60">
        <v>113</v>
      </c>
      <c r="C60">
        <v>92</v>
      </c>
      <c r="D60">
        <v>80</v>
      </c>
      <c r="E60">
        <v>111</v>
      </c>
      <c r="F60">
        <v>110</v>
      </c>
      <c r="G60">
        <v>66</v>
      </c>
      <c r="H60">
        <v>103</v>
      </c>
      <c r="I60">
        <v>79</v>
      </c>
      <c r="K60">
        <f t="shared" si="6"/>
        <v>94.25</v>
      </c>
      <c r="M60">
        <f t="shared" si="7"/>
        <v>99</v>
      </c>
      <c r="N60">
        <f t="shared" si="8"/>
        <v>89.5</v>
      </c>
      <c r="Q60">
        <v>7.2</v>
      </c>
      <c r="R60">
        <f t="shared" si="9"/>
        <v>87.05</v>
      </c>
    </row>
    <row r="61" spans="1:18" x14ac:dyDescent="0.25">
      <c r="A61" t="s">
        <v>186</v>
      </c>
      <c r="B61">
        <v>88</v>
      </c>
      <c r="C61">
        <v>83</v>
      </c>
      <c r="D61">
        <v>64</v>
      </c>
      <c r="E61">
        <v>219</v>
      </c>
      <c r="F61">
        <v>74</v>
      </c>
      <c r="G61">
        <v>37.200000000000003</v>
      </c>
      <c r="H61">
        <v>73</v>
      </c>
      <c r="I61">
        <v>34.5</v>
      </c>
      <c r="K61">
        <f t="shared" si="6"/>
        <v>84.087500000000006</v>
      </c>
      <c r="M61">
        <f t="shared" si="7"/>
        <v>113.5</v>
      </c>
      <c r="N61">
        <f t="shared" si="8"/>
        <v>54.674999999999997</v>
      </c>
      <c r="Q61">
        <v>6.9</v>
      </c>
      <c r="R61">
        <f t="shared" si="9"/>
        <v>77.1875</v>
      </c>
    </row>
    <row r="63" spans="1:18" x14ac:dyDescent="0.25">
      <c r="J63" s="25"/>
      <c r="K63" s="37"/>
      <c r="L63" s="37"/>
      <c r="M63" s="37"/>
      <c r="N63" s="37"/>
      <c r="O63" s="37"/>
      <c r="P63" s="37"/>
      <c r="Q63" s="37"/>
      <c r="R63" s="37"/>
    </row>
    <row r="65" spans="10:18" x14ac:dyDescent="0.25">
      <c r="J65" s="25"/>
      <c r="K65" s="12"/>
      <c r="L65" s="12"/>
      <c r="M65" s="12"/>
      <c r="N65" s="12"/>
      <c r="O65" s="12"/>
      <c r="P65" s="12"/>
      <c r="Q65" s="12"/>
      <c r="R65" s="12"/>
    </row>
    <row r="66" spans="10:18" x14ac:dyDescent="0.25">
      <c r="J66" s="25"/>
      <c r="K66" s="12"/>
      <c r="L66" s="12"/>
      <c r="M66" s="12"/>
      <c r="N66" s="12"/>
      <c r="O66" s="12"/>
      <c r="P66" s="12"/>
      <c r="Q66" s="12"/>
      <c r="R66" s="12"/>
    </row>
    <row r="67" spans="10:18" x14ac:dyDescent="0.25">
      <c r="K67" s="12"/>
      <c r="L67" s="12"/>
      <c r="M67" s="12"/>
      <c r="N67" s="12"/>
      <c r="O67" s="12"/>
      <c r="P67" s="12"/>
      <c r="Q67" s="12"/>
      <c r="R67" s="12"/>
    </row>
    <row r="68" spans="10:18" x14ac:dyDescent="0.25">
      <c r="J68" s="25"/>
      <c r="K68" s="12"/>
      <c r="L68" s="12"/>
      <c r="M68" s="12"/>
      <c r="N68" s="12"/>
      <c r="O68" s="12"/>
      <c r="P68" s="12"/>
      <c r="Q68" s="12"/>
      <c r="R68" s="12"/>
    </row>
    <row r="69" spans="10:18" x14ac:dyDescent="0.25">
      <c r="J69" s="25"/>
      <c r="K69" s="12"/>
      <c r="L69" s="12"/>
      <c r="M69" s="12"/>
      <c r="N69" s="12"/>
      <c r="O69" s="12"/>
      <c r="P69" s="12"/>
      <c r="Q69" s="12"/>
      <c r="R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R69"/>
  <sheetViews>
    <sheetView zoomScale="55" zoomScaleNormal="55" workbookViewId="0">
      <selection activeCell="V51" sqref="V51"/>
    </sheetView>
  </sheetViews>
  <sheetFormatPr defaultRowHeight="15" x14ac:dyDescent="0.25"/>
  <sheetData>
    <row r="1" spans="1:18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Q1" s="25" t="s">
        <v>245</v>
      </c>
      <c r="R1" s="25" t="s">
        <v>246</v>
      </c>
    </row>
    <row r="2" spans="1:18" x14ac:dyDescent="0.25">
      <c r="A2" t="s">
        <v>3</v>
      </c>
      <c r="B2">
        <v>50</v>
      </c>
      <c r="C2">
        <v>50</v>
      </c>
      <c r="D2">
        <v>56</v>
      </c>
      <c r="E2">
        <v>53</v>
      </c>
      <c r="F2">
        <v>37.299999999999997</v>
      </c>
      <c r="G2">
        <v>57</v>
      </c>
      <c r="H2">
        <v>36.6</v>
      </c>
      <c r="I2">
        <v>83</v>
      </c>
      <c r="K2">
        <f>AVERAGE(B2:I2)</f>
        <v>52.862500000000004</v>
      </c>
      <c r="M2">
        <f>AVERAGE(B2:E2)</f>
        <v>52.25</v>
      </c>
      <c r="N2">
        <f>AVERAGE(F2:I2)</f>
        <v>53.475000000000001</v>
      </c>
      <c r="Q2">
        <v>6</v>
      </c>
      <c r="R2">
        <f>K2-Q2</f>
        <v>46.862500000000004</v>
      </c>
    </row>
    <row r="3" spans="1:18" x14ac:dyDescent="0.25">
      <c r="A3" t="s">
        <v>13</v>
      </c>
      <c r="B3">
        <v>24</v>
      </c>
      <c r="C3">
        <v>10.4</v>
      </c>
      <c r="D3">
        <v>18.2</v>
      </c>
      <c r="E3">
        <v>10.199999999999999</v>
      </c>
      <c r="F3">
        <v>17.8</v>
      </c>
      <c r="G3">
        <v>32.200000000000003</v>
      </c>
      <c r="H3">
        <v>30.4</v>
      </c>
      <c r="I3">
        <v>11.6</v>
      </c>
      <c r="K3">
        <f t="shared" ref="K3:K55" si="0">AVERAGE(B3:I3)</f>
        <v>19.349999999999998</v>
      </c>
      <c r="M3">
        <f t="shared" ref="M3:M55" si="1">AVERAGE(B3:E3)</f>
        <v>15.7</v>
      </c>
      <c r="N3">
        <f t="shared" ref="N3:N55" si="2">AVERAGE(F3:I3)</f>
        <v>23</v>
      </c>
      <c r="Q3">
        <v>1.7</v>
      </c>
      <c r="R3">
        <f t="shared" ref="R3:R55" si="3">K3-Q3</f>
        <v>17.649999999999999</v>
      </c>
    </row>
    <row r="4" spans="1:18" x14ac:dyDescent="0.25">
      <c r="A4" t="s">
        <v>68</v>
      </c>
      <c r="B4">
        <v>17.100000000000001</v>
      </c>
      <c r="C4" s="4">
        <v>3.6</v>
      </c>
      <c r="D4" s="4">
        <v>7.4</v>
      </c>
      <c r="E4" s="4">
        <v>7.1</v>
      </c>
      <c r="F4">
        <v>23.2</v>
      </c>
      <c r="G4">
        <v>5.7</v>
      </c>
      <c r="H4">
        <v>5.9</v>
      </c>
      <c r="I4">
        <v>7.2</v>
      </c>
      <c r="K4">
        <f t="shared" si="0"/>
        <v>9.6500000000000021</v>
      </c>
      <c r="M4">
        <f t="shared" si="1"/>
        <v>8.8000000000000007</v>
      </c>
      <c r="N4">
        <f t="shared" si="2"/>
        <v>10.5</v>
      </c>
      <c r="Q4">
        <v>1.4</v>
      </c>
      <c r="R4">
        <f t="shared" si="3"/>
        <v>8.2500000000000018</v>
      </c>
    </row>
    <row r="5" spans="1:18" x14ac:dyDescent="0.25">
      <c r="A5" t="s">
        <v>69</v>
      </c>
      <c r="B5">
        <v>19.399999999999999</v>
      </c>
      <c r="C5" s="4">
        <v>21</v>
      </c>
      <c r="D5" s="4">
        <v>13.4</v>
      </c>
      <c r="E5" s="4">
        <v>8.6999999999999993</v>
      </c>
      <c r="F5" s="4">
        <v>16.399999999999999</v>
      </c>
      <c r="G5" s="4">
        <v>5.7</v>
      </c>
      <c r="H5" s="4">
        <v>28.3</v>
      </c>
      <c r="I5" s="4">
        <v>10.6</v>
      </c>
      <c r="K5">
        <f t="shared" si="0"/>
        <v>15.4375</v>
      </c>
      <c r="M5">
        <f t="shared" si="1"/>
        <v>15.625</v>
      </c>
      <c r="N5">
        <f t="shared" si="2"/>
        <v>15.25</v>
      </c>
      <c r="Q5">
        <v>3.6</v>
      </c>
      <c r="R5">
        <f t="shared" si="3"/>
        <v>11.8375</v>
      </c>
    </row>
    <row r="6" spans="1:18" x14ac:dyDescent="0.25">
      <c r="A6" t="s">
        <v>70</v>
      </c>
      <c r="B6">
        <v>44</v>
      </c>
      <c r="C6" s="4">
        <v>29.2</v>
      </c>
      <c r="D6" s="4">
        <v>25</v>
      </c>
      <c r="E6" s="4">
        <v>28.5</v>
      </c>
      <c r="F6" s="4">
        <v>44</v>
      </c>
      <c r="G6" s="4">
        <v>57</v>
      </c>
      <c r="H6" s="4">
        <v>27.4</v>
      </c>
      <c r="I6" s="4">
        <v>26</v>
      </c>
      <c r="K6">
        <f t="shared" si="0"/>
        <v>35.137500000000003</v>
      </c>
      <c r="M6">
        <f t="shared" si="1"/>
        <v>31.675000000000001</v>
      </c>
      <c r="N6">
        <f t="shared" si="2"/>
        <v>38.6</v>
      </c>
      <c r="Q6">
        <v>3.3</v>
      </c>
      <c r="R6">
        <f t="shared" si="3"/>
        <v>31.837500000000002</v>
      </c>
    </row>
    <row r="7" spans="1:18" x14ac:dyDescent="0.25">
      <c r="A7" t="s">
        <v>74</v>
      </c>
      <c r="B7">
        <v>35.799999999999997</v>
      </c>
      <c r="C7">
        <v>36.299999999999997</v>
      </c>
      <c r="D7">
        <v>41</v>
      </c>
      <c r="E7">
        <v>45</v>
      </c>
      <c r="F7">
        <v>31.9</v>
      </c>
      <c r="G7">
        <v>22.7</v>
      </c>
      <c r="H7">
        <v>36.6</v>
      </c>
      <c r="I7">
        <v>34.200000000000003</v>
      </c>
      <c r="K7">
        <f t="shared" si="0"/>
        <v>35.4375</v>
      </c>
      <c r="M7">
        <f t="shared" si="1"/>
        <v>39.524999999999999</v>
      </c>
      <c r="N7">
        <f t="shared" si="2"/>
        <v>31.349999999999998</v>
      </c>
      <c r="Q7">
        <v>3.5</v>
      </c>
      <c r="R7">
        <f t="shared" si="3"/>
        <v>31.9375</v>
      </c>
    </row>
    <row r="8" spans="1:18" x14ac:dyDescent="0.25">
      <c r="A8" t="s">
        <v>79</v>
      </c>
      <c r="B8">
        <v>31.4</v>
      </c>
      <c r="C8">
        <v>18.3</v>
      </c>
      <c r="D8">
        <v>19</v>
      </c>
      <c r="E8">
        <v>22.5</v>
      </c>
      <c r="F8">
        <v>36.6</v>
      </c>
      <c r="G8">
        <v>20.100000000000001</v>
      </c>
      <c r="H8">
        <v>19.8</v>
      </c>
      <c r="I8">
        <v>43</v>
      </c>
      <c r="K8">
        <f t="shared" si="0"/>
        <v>26.337500000000002</v>
      </c>
      <c r="M8">
        <f t="shared" si="1"/>
        <v>22.8</v>
      </c>
      <c r="N8">
        <f t="shared" si="2"/>
        <v>29.875</v>
      </c>
      <c r="Q8">
        <v>3.2</v>
      </c>
      <c r="R8">
        <f t="shared" si="3"/>
        <v>23.137500000000003</v>
      </c>
    </row>
    <row r="9" spans="1:18" x14ac:dyDescent="0.25">
      <c r="A9" t="s">
        <v>80</v>
      </c>
      <c r="B9">
        <v>27.6</v>
      </c>
      <c r="C9">
        <v>73</v>
      </c>
      <c r="D9">
        <v>107</v>
      </c>
      <c r="E9">
        <v>36.299999999999997</v>
      </c>
      <c r="F9">
        <v>90</v>
      </c>
      <c r="G9">
        <v>38.1</v>
      </c>
      <c r="H9">
        <v>28.5</v>
      </c>
      <c r="I9">
        <v>54</v>
      </c>
      <c r="K9">
        <f t="shared" si="0"/>
        <v>56.8125</v>
      </c>
      <c r="M9">
        <f t="shared" si="1"/>
        <v>60.974999999999994</v>
      </c>
      <c r="N9">
        <f t="shared" si="2"/>
        <v>52.65</v>
      </c>
      <c r="Q9">
        <v>9.6999999999999993</v>
      </c>
      <c r="R9">
        <f>K9-Q9</f>
        <v>47.112499999999997</v>
      </c>
    </row>
    <row r="10" spans="1:18" x14ac:dyDescent="0.25">
      <c r="A10" t="s">
        <v>86</v>
      </c>
      <c r="B10">
        <v>39.700000000000003</v>
      </c>
      <c r="C10">
        <v>26.3</v>
      </c>
      <c r="D10">
        <v>48</v>
      </c>
      <c r="E10">
        <v>24.8</v>
      </c>
      <c r="F10">
        <v>22.1</v>
      </c>
      <c r="G10">
        <v>18.5</v>
      </c>
      <c r="H10">
        <v>19.7</v>
      </c>
      <c r="I10">
        <v>15.3</v>
      </c>
      <c r="K10">
        <f t="shared" si="0"/>
        <v>26.8</v>
      </c>
      <c r="M10">
        <f t="shared" si="1"/>
        <v>34.700000000000003</v>
      </c>
      <c r="N10">
        <f t="shared" si="2"/>
        <v>18.899999999999999</v>
      </c>
      <c r="Q10">
        <v>5.6</v>
      </c>
      <c r="R10">
        <f t="shared" si="3"/>
        <v>21.200000000000003</v>
      </c>
    </row>
    <row r="11" spans="1:18" x14ac:dyDescent="0.25">
      <c r="A11" t="s">
        <v>92</v>
      </c>
      <c r="B11">
        <v>18.8</v>
      </c>
      <c r="C11">
        <v>5.7</v>
      </c>
      <c r="D11">
        <v>15.6</v>
      </c>
      <c r="E11">
        <v>7.8</v>
      </c>
      <c r="F11">
        <v>22.3</v>
      </c>
      <c r="G11">
        <v>5</v>
      </c>
      <c r="H11">
        <v>11.6</v>
      </c>
      <c r="I11">
        <v>10.3</v>
      </c>
      <c r="K11">
        <f t="shared" si="0"/>
        <v>12.137499999999999</v>
      </c>
      <c r="M11">
        <f t="shared" si="1"/>
        <v>11.975</v>
      </c>
      <c r="N11">
        <f t="shared" si="2"/>
        <v>12.3</v>
      </c>
      <c r="Q11">
        <v>3.3</v>
      </c>
      <c r="R11">
        <f t="shared" si="3"/>
        <v>8.8374999999999986</v>
      </c>
    </row>
    <row r="12" spans="1:18" x14ac:dyDescent="0.25">
      <c r="A12" t="s">
        <v>93</v>
      </c>
      <c r="B12">
        <v>12.4</v>
      </c>
      <c r="C12">
        <v>52</v>
      </c>
      <c r="D12">
        <v>15</v>
      </c>
      <c r="E12">
        <v>4.4000000000000004</v>
      </c>
      <c r="F12">
        <v>23.3</v>
      </c>
      <c r="G12">
        <v>9.1</v>
      </c>
      <c r="H12">
        <v>16.8</v>
      </c>
      <c r="I12">
        <v>32.6</v>
      </c>
      <c r="K12">
        <f t="shared" si="0"/>
        <v>20.7</v>
      </c>
      <c r="M12">
        <f t="shared" si="1"/>
        <v>20.950000000000003</v>
      </c>
      <c r="N12">
        <f t="shared" si="2"/>
        <v>20.450000000000003</v>
      </c>
      <c r="Q12">
        <v>3.5</v>
      </c>
      <c r="R12">
        <f t="shared" si="3"/>
        <v>17.2</v>
      </c>
    </row>
    <row r="13" spans="1:18" x14ac:dyDescent="0.25">
      <c r="A13" t="s">
        <v>110</v>
      </c>
      <c r="B13">
        <v>81</v>
      </c>
      <c r="C13">
        <v>21.7</v>
      </c>
      <c r="D13">
        <v>44</v>
      </c>
      <c r="E13">
        <v>42</v>
      </c>
      <c r="F13">
        <v>27.3</v>
      </c>
      <c r="G13">
        <v>24.9</v>
      </c>
      <c r="H13">
        <v>51</v>
      </c>
      <c r="I13">
        <v>36.799999999999997</v>
      </c>
      <c r="K13">
        <f t="shared" si="0"/>
        <v>41.087499999999999</v>
      </c>
      <c r="M13">
        <f t="shared" si="1"/>
        <v>47.174999999999997</v>
      </c>
      <c r="N13">
        <f t="shared" si="2"/>
        <v>35</v>
      </c>
      <c r="Q13">
        <v>5.2</v>
      </c>
      <c r="R13">
        <f t="shared" si="3"/>
        <v>35.887499999999996</v>
      </c>
    </row>
    <row r="14" spans="1:18" x14ac:dyDescent="0.25">
      <c r="A14" t="s">
        <v>120</v>
      </c>
      <c r="B14">
        <v>33.700000000000003</v>
      </c>
      <c r="C14">
        <v>33.9</v>
      </c>
      <c r="D14">
        <v>25.7</v>
      </c>
      <c r="E14">
        <v>18</v>
      </c>
      <c r="F14">
        <v>26.1</v>
      </c>
      <c r="G14">
        <v>21.8</v>
      </c>
      <c r="H14">
        <v>7.9</v>
      </c>
      <c r="I14">
        <v>41</v>
      </c>
      <c r="K14">
        <f t="shared" si="0"/>
        <v>26.012500000000003</v>
      </c>
      <c r="M14">
        <f t="shared" si="1"/>
        <v>27.824999999999999</v>
      </c>
      <c r="N14">
        <f t="shared" si="2"/>
        <v>24.200000000000003</v>
      </c>
      <c r="Q14">
        <v>1.4</v>
      </c>
      <c r="R14">
        <f t="shared" si="3"/>
        <v>24.612500000000004</v>
      </c>
    </row>
    <row r="15" spans="1:18" x14ac:dyDescent="0.25">
      <c r="A15" t="s">
        <v>125</v>
      </c>
      <c r="B15">
        <v>10</v>
      </c>
      <c r="C15">
        <v>27.6</v>
      </c>
      <c r="D15">
        <v>24.3</v>
      </c>
      <c r="E15">
        <v>24.7</v>
      </c>
      <c r="F15">
        <v>22.3</v>
      </c>
      <c r="G15">
        <v>27.1</v>
      </c>
      <c r="H15">
        <v>30.6</v>
      </c>
      <c r="I15">
        <v>19.399999999999999</v>
      </c>
      <c r="K15">
        <f t="shared" si="0"/>
        <v>23.25</v>
      </c>
      <c r="M15">
        <f t="shared" si="1"/>
        <v>21.650000000000002</v>
      </c>
      <c r="N15">
        <f t="shared" si="2"/>
        <v>24.85</v>
      </c>
      <c r="Q15">
        <v>3</v>
      </c>
      <c r="R15">
        <f t="shared" si="3"/>
        <v>20.25</v>
      </c>
    </row>
    <row r="16" spans="1:18" x14ac:dyDescent="0.25">
      <c r="A16" t="s">
        <v>130</v>
      </c>
      <c r="B16">
        <v>14.2</v>
      </c>
      <c r="C16">
        <v>17.8</v>
      </c>
      <c r="D16">
        <v>18.3</v>
      </c>
      <c r="E16">
        <v>22.9</v>
      </c>
      <c r="F16">
        <v>25.2</v>
      </c>
      <c r="G16">
        <v>29.4</v>
      </c>
      <c r="H16">
        <v>42</v>
      </c>
      <c r="I16">
        <v>22.7</v>
      </c>
      <c r="K16">
        <f t="shared" si="0"/>
        <v>24.062499999999996</v>
      </c>
      <c r="M16">
        <f t="shared" si="1"/>
        <v>18.299999999999997</v>
      </c>
      <c r="N16">
        <f t="shared" si="2"/>
        <v>29.824999999999999</v>
      </c>
      <c r="Q16">
        <v>3.2</v>
      </c>
      <c r="R16">
        <f t="shared" si="3"/>
        <v>20.862499999999997</v>
      </c>
    </row>
    <row r="17" spans="1:18" x14ac:dyDescent="0.25">
      <c r="A17" t="s">
        <v>145</v>
      </c>
      <c r="B17">
        <v>29.1</v>
      </c>
      <c r="C17">
        <v>49</v>
      </c>
      <c r="D17">
        <v>25.8</v>
      </c>
      <c r="E17">
        <v>33.9</v>
      </c>
      <c r="F17">
        <v>17.5</v>
      </c>
      <c r="G17">
        <v>24.9</v>
      </c>
      <c r="H17">
        <v>25.2</v>
      </c>
      <c r="I17">
        <v>35.200000000000003</v>
      </c>
      <c r="K17">
        <f t="shared" si="0"/>
        <v>30.074999999999996</v>
      </c>
      <c r="M17">
        <f t="shared" si="1"/>
        <v>34.449999999999996</v>
      </c>
      <c r="N17">
        <f t="shared" si="2"/>
        <v>25.7</v>
      </c>
      <c r="Q17">
        <v>1.4</v>
      </c>
      <c r="R17">
        <f t="shared" si="3"/>
        <v>28.674999999999997</v>
      </c>
    </row>
    <row r="18" spans="1:18" x14ac:dyDescent="0.25">
      <c r="A18" t="s">
        <v>144</v>
      </c>
      <c r="B18">
        <v>33.5</v>
      </c>
      <c r="C18">
        <v>71</v>
      </c>
      <c r="D18">
        <v>50</v>
      </c>
      <c r="E18">
        <v>25.7</v>
      </c>
      <c r="F18">
        <v>28.7</v>
      </c>
      <c r="G18">
        <v>72</v>
      </c>
      <c r="H18">
        <v>50</v>
      </c>
      <c r="I18">
        <v>49</v>
      </c>
      <c r="K18">
        <f t="shared" si="0"/>
        <v>47.487499999999997</v>
      </c>
      <c r="M18">
        <f t="shared" si="1"/>
        <v>45.05</v>
      </c>
      <c r="N18">
        <f t="shared" si="2"/>
        <v>49.924999999999997</v>
      </c>
      <c r="Q18">
        <v>1.4</v>
      </c>
      <c r="R18">
        <f t="shared" si="3"/>
        <v>46.087499999999999</v>
      </c>
    </row>
    <row r="19" spans="1:18" x14ac:dyDescent="0.25">
      <c r="A19" t="s">
        <v>132</v>
      </c>
      <c r="B19">
        <v>44</v>
      </c>
      <c r="C19">
        <v>66</v>
      </c>
      <c r="D19">
        <v>56</v>
      </c>
      <c r="E19">
        <v>18.399999999999999</v>
      </c>
      <c r="F19">
        <v>48</v>
      </c>
      <c r="G19">
        <v>34.5</v>
      </c>
      <c r="H19">
        <v>24.3</v>
      </c>
      <c r="I19">
        <v>34.6</v>
      </c>
      <c r="K19">
        <f t="shared" si="0"/>
        <v>40.725000000000001</v>
      </c>
      <c r="M19">
        <f t="shared" si="1"/>
        <v>46.1</v>
      </c>
      <c r="N19">
        <f t="shared" si="2"/>
        <v>35.35</v>
      </c>
      <c r="Q19">
        <v>1.4</v>
      </c>
      <c r="R19">
        <f t="shared" si="3"/>
        <v>39.325000000000003</v>
      </c>
    </row>
    <row r="20" spans="1:18" x14ac:dyDescent="0.25">
      <c r="A20" t="s">
        <v>146</v>
      </c>
      <c r="B20">
        <v>25.6</v>
      </c>
      <c r="C20">
        <v>40</v>
      </c>
      <c r="D20">
        <v>40</v>
      </c>
      <c r="E20">
        <v>35</v>
      </c>
      <c r="F20">
        <v>37</v>
      </c>
      <c r="G20">
        <v>39.299999999999997</v>
      </c>
      <c r="H20">
        <v>46</v>
      </c>
      <c r="I20">
        <v>37</v>
      </c>
      <c r="K20">
        <f t="shared" si="0"/>
        <v>37.487499999999997</v>
      </c>
      <c r="M20">
        <f t="shared" si="1"/>
        <v>35.15</v>
      </c>
      <c r="N20">
        <f t="shared" si="2"/>
        <v>39.825000000000003</v>
      </c>
      <c r="Q20">
        <v>4</v>
      </c>
      <c r="R20">
        <f t="shared" si="3"/>
        <v>33.487499999999997</v>
      </c>
    </row>
    <row r="21" spans="1:18" x14ac:dyDescent="0.25">
      <c r="A21" t="s">
        <v>147</v>
      </c>
      <c r="B21">
        <v>25.1</v>
      </c>
      <c r="C21">
        <v>27.3</v>
      </c>
      <c r="D21">
        <v>29</v>
      </c>
      <c r="E21">
        <v>7.7</v>
      </c>
      <c r="F21">
        <v>31.3</v>
      </c>
      <c r="G21">
        <v>25.9</v>
      </c>
      <c r="H21">
        <v>26.7</v>
      </c>
      <c r="I21">
        <v>28.4</v>
      </c>
      <c r="K21">
        <f t="shared" si="0"/>
        <v>25.175000000000001</v>
      </c>
      <c r="M21">
        <f t="shared" si="1"/>
        <v>22.275000000000002</v>
      </c>
      <c r="N21">
        <f t="shared" si="2"/>
        <v>28.075000000000003</v>
      </c>
      <c r="Q21">
        <v>3.9</v>
      </c>
      <c r="R21">
        <f t="shared" si="3"/>
        <v>21.275000000000002</v>
      </c>
    </row>
    <row r="22" spans="1:18" x14ac:dyDescent="0.25">
      <c r="A22" t="s">
        <v>155</v>
      </c>
      <c r="B22">
        <v>50</v>
      </c>
      <c r="C22">
        <v>31.5</v>
      </c>
      <c r="D22">
        <v>18.5</v>
      </c>
      <c r="E22">
        <v>10.7</v>
      </c>
      <c r="F22">
        <v>13.3</v>
      </c>
      <c r="G22">
        <v>14.6</v>
      </c>
      <c r="H22">
        <v>15</v>
      </c>
      <c r="I22">
        <v>11.9</v>
      </c>
      <c r="K22">
        <f t="shared" si="0"/>
        <v>20.6875</v>
      </c>
      <c r="M22">
        <f t="shared" si="1"/>
        <v>27.675000000000001</v>
      </c>
      <c r="N22">
        <f t="shared" si="2"/>
        <v>13.7</v>
      </c>
      <c r="Q22">
        <v>1.5</v>
      </c>
      <c r="R22">
        <f t="shared" si="3"/>
        <v>19.1875</v>
      </c>
    </row>
    <row r="23" spans="1:18" x14ac:dyDescent="0.25">
      <c r="A23" t="s">
        <v>158</v>
      </c>
      <c r="B23">
        <v>9.1999999999999993</v>
      </c>
      <c r="C23">
        <v>4.9000000000000004</v>
      </c>
      <c r="D23">
        <v>26.7</v>
      </c>
      <c r="E23">
        <v>26.2</v>
      </c>
      <c r="F23">
        <v>39.5</v>
      </c>
      <c r="G23">
        <v>18.100000000000001</v>
      </c>
      <c r="H23">
        <v>23.9</v>
      </c>
      <c r="I23">
        <v>28.7</v>
      </c>
      <c r="K23">
        <f t="shared" si="0"/>
        <v>22.15</v>
      </c>
      <c r="M23">
        <f t="shared" si="1"/>
        <v>16.75</v>
      </c>
      <c r="N23">
        <f t="shared" si="2"/>
        <v>27.55</v>
      </c>
      <c r="Q23">
        <v>3.7</v>
      </c>
      <c r="R23">
        <f t="shared" si="3"/>
        <v>18.45</v>
      </c>
    </row>
    <row r="24" spans="1:18" x14ac:dyDescent="0.25">
      <c r="A24" t="s">
        <v>162</v>
      </c>
      <c r="B24">
        <v>38.700000000000003</v>
      </c>
      <c r="C24">
        <v>23.4</v>
      </c>
      <c r="D24">
        <v>27.2</v>
      </c>
      <c r="E24">
        <v>24.2</v>
      </c>
      <c r="F24">
        <v>13.4</v>
      </c>
      <c r="G24">
        <v>41</v>
      </c>
      <c r="H24">
        <v>9.9</v>
      </c>
      <c r="I24">
        <v>6.7</v>
      </c>
      <c r="K24">
        <f>AVERAGE(B24:I24)</f>
        <v>23.0625</v>
      </c>
      <c r="M24">
        <f>AVERAGE(C24:E24)</f>
        <v>24.933333333333334</v>
      </c>
      <c r="N24">
        <f t="shared" si="2"/>
        <v>17.75</v>
      </c>
      <c r="Q24">
        <v>3.3</v>
      </c>
      <c r="R24">
        <f t="shared" si="3"/>
        <v>19.762499999999999</v>
      </c>
    </row>
    <row r="25" spans="1:18" x14ac:dyDescent="0.25">
      <c r="A25" t="s">
        <v>160</v>
      </c>
      <c r="B25">
        <v>15.4</v>
      </c>
      <c r="C25">
        <v>39.700000000000003</v>
      </c>
      <c r="D25">
        <v>23.1</v>
      </c>
      <c r="E25">
        <v>41</v>
      </c>
      <c r="F25">
        <v>43</v>
      </c>
      <c r="G25">
        <v>22</v>
      </c>
      <c r="H25">
        <v>34.700000000000003</v>
      </c>
      <c r="I25">
        <v>21</v>
      </c>
      <c r="K25">
        <f t="shared" ref="K25:K30" si="4">AVERAGE(B25:I25)</f>
        <v>29.987499999999997</v>
      </c>
      <c r="M25">
        <f t="shared" ref="M25:M30" si="5">AVERAGE(B25:E25)</f>
        <v>29.8</v>
      </c>
      <c r="N25">
        <f t="shared" si="2"/>
        <v>30.175000000000001</v>
      </c>
      <c r="Q25">
        <v>6.9</v>
      </c>
      <c r="R25">
        <f t="shared" si="3"/>
        <v>23.087499999999999</v>
      </c>
    </row>
    <row r="26" spans="1:18" x14ac:dyDescent="0.25">
      <c r="A26" t="s">
        <v>173</v>
      </c>
      <c r="B26">
        <v>67</v>
      </c>
      <c r="C26">
        <v>54</v>
      </c>
      <c r="D26">
        <v>27.5</v>
      </c>
      <c r="E26">
        <v>71</v>
      </c>
      <c r="F26">
        <v>31</v>
      </c>
      <c r="G26">
        <v>24.8</v>
      </c>
      <c r="H26">
        <v>21.3</v>
      </c>
      <c r="I26">
        <v>31.8</v>
      </c>
      <c r="K26">
        <f t="shared" si="4"/>
        <v>41.050000000000004</v>
      </c>
      <c r="M26">
        <f t="shared" si="5"/>
        <v>54.875</v>
      </c>
      <c r="N26">
        <f t="shared" si="2"/>
        <v>27.224999999999998</v>
      </c>
      <c r="Q26">
        <v>1.2</v>
      </c>
      <c r="R26">
        <f t="shared" si="3"/>
        <v>39.85</v>
      </c>
    </row>
    <row r="27" spans="1:18" x14ac:dyDescent="0.25">
      <c r="A27" t="s">
        <v>174</v>
      </c>
      <c r="B27">
        <v>27.2</v>
      </c>
      <c r="C27">
        <v>39.200000000000003</v>
      </c>
      <c r="D27">
        <v>19.7</v>
      </c>
      <c r="E27">
        <v>18.5</v>
      </c>
      <c r="F27">
        <v>18.600000000000001</v>
      </c>
      <c r="G27">
        <v>14.8</v>
      </c>
      <c r="H27">
        <v>23.5</v>
      </c>
      <c r="I27">
        <v>15.1</v>
      </c>
      <c r="K27">
        <f t="shared" si="4"/>
        <v>22.075000000000003</v>
      </c>
      <c r="M27">
        <f t="shared" si="5"/>
        <v>26.150000000000002</v>
      </c>
      <c r="N27">
        <f t="shared" si="2"/>
        <v>18</v>
      </c>
      <c r="Q27">
        <v>3.2</v>
      </c>
      <c r="R27">
        <f t="shared" si="3"/>
        <v>18.875000000000004</v>
      </c>
    </row>
    <row r="28" spans="1:18" x14ac:dyDescent="0.25">
      <c r="A28" t="s">
        <v>175</v>
      </c>
      <c r="B28">
        <v>14.8</v>
      </c>
      <c r="C28">
        <v>46</v>
      </c>
      <c r="D28">
        <v>22.1</v>
      </c>
      <c r="E28">
        <v>16.7</v>
      </c>
      <c r="F28">
        <v>14.5</v>
      </c>
      <c r="G28">
        <v>14.7</v>
      </c>
      <c r="H28">
        <v>24.6</v>
      </c>
      <c r="I28">
        <v>17.899999999999999</v>
      </c>
      <c r="K28">
        <f t="shared" si="4"/>
        <v>21.412500000000001</v>
      </c>
      <c r="M28">
        <f t="shared" si="5"/>
        <v>24.900000000000002</v>
      </c>
      <c r="N28">
        <f t="shared" si="2"/>
        <v>17.924999999999997</v>
      </c>
      <c r="Q28">
        <v>1.3</v>
      </c>
      <c r="R28">
        <f t="shared" si="3"/>
        <v>20.112500000000001</v>
      </c>
    </row>
    <row r="29" spans="1:18" x14ac:dyDescent="0.25">
      <c r="A29" t="s">
        <v>187</v>
      </c>
      <c r="B29">
        <v>43</v>
      </c>
      <c r="C29">
        <v>22.8</v>
      </c>
      <c r="D29">
        <v>44</v>
      </c>
      <c r="E29">
        <v>22</v>
      </c>
      <c r="F29">
        <v>35.200000000000003</v>
      </c>
      <c r="G29">
        <v>33.4</v>
      </c>
      <c r="H29">
        <v>29.3</v>
      </c>
      <c r="I29">
        <v>23.9</v>
      </c>
      <c r="K29">
        <f t="shared" si="4"/>
        <v>31.700000000000003</v>
      </c>
      <c r="M29">
        <f t="shared" si="5"/>
        <v>32.950000000000003</v>
      </c>
      <c r="N29">
        <f t="shared" si="2"/>
        <v>30.449999999999996</v>
      </c>
      <c r="Q29">
        <v>2.9</v>
      </c>
      <c r="R29">
        <f t="shared" si="3"/>
        <v>28.800000000000004</v>
      </c>
    </row>
    <row r="30" spans="1:18" x14ac:dyDescent="0.25">
      <c r="A30" t="s">
        <v>186</v>
      </c>
      <c r="B30">
        <v>6.3</v>
      </c>
      <c r="C30">
        <v>9.3000000000000007</v>
      </c>
      <c r="D30">
        <v>57</v>
      </c>
      <c r="E30">
        <v>18.399999999999999</v>
      </c>
      <c r="F30">
        <v>10.1</v>
      </c>
      <c r="G30">
        <v>11.3</v>
      </c>
      <c r="H30">
        <v>15.7</v>
      </c>
      <c r="I30">
        <v>8.3000000000000007</v>
      </c>
      <c r="K30">
        <f t="shared" si="4"/>
        <v>17.05</v>
      </c>
      <c r="M30">
        <f t="shared" si="5"/>
        <v>22.75</v>
      </c>
      <c r="N30">
        <f t="shared" si="2"/>
        <v>11.349999999999998</v>
      </c>
      <c r="Q30">
        <v>1.4</v>
      </c>
      <c r="R30">
        <f t="shared" si="3"/>
        <v>15.65</v>
      </c>
    </row>
    <row r="32" spans="1:18" s="25" customFormat="1" x14ac:dyDescent="0.25">
      <c r="A32" s="25" t="s">
        <v>1</v>
      </c>
    </row>
    <row r="33" spans="1:18" x14ac:dyDescent="0.25">
      <c r="A33" t="s">
        <v>3</v>
      </c>
      <c r="B33">
        <v>50</v>
      </c>
      <c r="C33">
        <v>41</v>
      </c>
      <c r="D33">
        <v>55</v>
      </c>
      <c r="E33">
        <v>33.200000000000003</v>
      </c>
      <c r="F33">
        <v>48</v>
      </c>
      <c r="G33">
        <v>62</v>
      </c>
      <c r="H33">
        <v>44</v>
      </c>
      <c r="I33">
        <v>39</v>
      </c>
      <c r="K33">
        <f t="shared" si="0"/>
        <v>46.524999999999999</v>
      </c>
      <c r="M33">
        <f t="shared" si="1"/>
        <v>44.8</v>
      </c>
      <c r="N33">
        <f t="shared" si="2"/>
        <v>48.25</v>
      </c>
      <c r="Q33">
        <v>5.7</v>
      </c>
      <c r="R33">
        <f t="shared" si="3"/>
        <v>40.824999999999996</v>
      </c>
    </row>
    <row r="34" spans="1:18" x14ac:dyDescent="0.25">
      <c r="A34" t="s">
        <v>13</v>
      </c>
      <c r="B34">
        <v>13.3</v>
      </c>
      <c r="C34">
        <v>6.1</v>
      </c>
      <c r="D34">
        <v>10.5</v>
      </c>
      <c r="E34">
        <v>13.4</v>
      </c>
      <c r="F34">
        <v>26.4</v>
      </c>
      <c r="G34">
        <v>16</v>
      </c>
      <c r="H34">
        <v>20</v>
      </c>
      <c r="I34">
        <v>18.7</v>
      </c>
      <c r="K34">
        <f t="shared" si="0"/>
        <v>15.549999999999999</v>
      </c>
      <c r="M34">
        <f t="shared" si="1"/>
        <v>10.824999999999999</v>
      </c>
      <c r="N34">
        <f t="shared" si="2"/>
        <v>20.274999999999999</v>
      </c>
      <c r="Q34">
        <v>1.3</v>
      </c>
      <c r="R34">
        <f t="shared" si="3"/>
        <v>14.249999999999998</v>
      </c>
    </row>
    <row r="35" spans="1:18" x14ac:dyDescent="0.25">
      <c r="A35" t="s">
        <v>68</v>
      </c>
      <c r="B35">
        <v>13.2</v>
      </c>
      <c r="C35">
        <v>15</v>
      </c>
      <c r="D35">
        <v>5</v>
      </c>
      <c r="E35">
        <v>16.899999999999999</v>
      </c>
      <c r="F35">
        <v>19.3</v>
      </c>
      <c r="G35">
        <v>16.7</v>
      </c>
      <c r="H35">
        <v>11.8</v>
      </c>
      <c r="I35">
        <v>20.8</v>
      </c>
      <c r="K35">
        <f t="shared" si="0"/>
        <v>14.8375</v>
      </c>
      <c r="M35">
        <f t="shared" si="1"/>
        <v>12.525</v>
      </c>
      <c r="N35">
        <f t="shared" si="2"/>
        <v>17.149999999999999</v>
      </c>
      <c r="Q35">
        <v>1</v>
      </c>
      <c r="R35">
        <f t="shared" si="3"/>
        <v>13.8375</v>
      </c>
    </row>
    <row r="36" spans="1:18" x14ac:dyDescent="0.25">
      <c r="A36" t="s">
        <v>69</v>
      </c>
      <c r="B36">
        <v>15.9</v>
      </c>
      <c r="C36">
        <v>33.6</v>
      </c>
      <c r="D36">
        <v>32.6</v>
      </c>
      <c r="E36">
        <v>26.3</v>
      </c>
      <c r="F36">
        <v>35.299999999999997</v>
      </c>
      <c r="G36">
        <v>35.799999999999997</v>
      </c>
      <c r="H36">
        <v>14.7</v>
      </c>
      <c r="I36">
        <v>19</v>
      </c>
      <c r="K36">
        <f t="shared" si="0"/>
        <v>26.65</v>
      </c>
      <c r="M36">
        <f t="shared" si="1"/>
        <v>27.099999999999998</v>
      </c>
      <c r="N36">
        <f t="shared" si="2"/>
        <v>26.2</v>
      </c>
      <c r="Q36">
        <v>3.4</v>
      </c>
      <c r="R36">
        <f t="shared" si="3"/>
        <v>23.25</v>
      </c>
    </row>
    <row r="37" spans="1:18" x14ac:dyDescent="0.25">
      <c r="A37" t="s">
        <v>70</v>
      </c>
      <c r="B37">
        <v>29.4</v>
      </c>
      <c r="C37">
        <v>24.9</v>
      </c>
      <c r="D37">
        <v>43</v>
      </c>
      <c r="E37">
        <v>33.1</v>
      </c>
      <c r="F37">
        <v>17.5</v>
      </c>
      <c r="G37">
        <v>17.600000000000001</v>
      </c>
      <c r="H37">
        <v>10.4</v>
      </c>
      <c r="I37">
        <v>34.299999999999997</v>
      </c>
      <c r="K37">
        <f t="shared" si="0"/>
        <v>26.274999999999999</v>
      </c>
      <c r="M37">
        <f t="shared" si="1"/>
        <v>32.6</v>
      </c>
      <c r="N37">
        <f t="shared" si="2"/>
        <v>19.95</v>
      </c>
      <c r="Q37">
        <v>3</v>
      </c>
      <c r="R37">
        <f t="shared" si="3"/>
        <v>23.274999999999999</v>
      </c>
    </row>
    <row r="38" spans="1:18" x14ac:dyDescent="0.25">
      <c r="A38" t="s">
        <v>74</v>
      </c>
      <c r="B38">
        <v>29.4</v>
      </c>
      <c r="C38">
        <v>24.6</v>
      </c>
      <c r="D38">
        <v>21.6</v>
      </c>
      <c r="E38">
        <v>47</v>
      </c>
      <c r="F38">
        <v>25</v>
      </c>
      <c r="G38">
        <v>23.5</v>
      </c>
      <c r="H38">
        <v>21.7</v>
      </c>
      <c r="I38">
        <v>27.2</v>
      </c>
      <c r="K38">
        <f t="shared" si="0"/>
        <v>27.499999999999996</v>
      </c>
      <c r="M38">
        <f t="shared" si="1"/>
        <v>30.65</v>
      </c>
      <c r="N38">
        <f t="shared" si="2"/>
        <v>24.35</v>
      </c>
      <c r="Q38">
        <v>3.2</v>
      </c>
      <c r="R38">
        <f t="shared" si="3"/>
        <v>24.299999999999997</v>
      </c>
    </row>
    <row r="39" spans="1:18" x14ac:dyDescent="0.25">
      <c r="A39" t="s">
        <v>79</v>
      </c>
      <c r="B39">
        <v>42</v>
      </c>
      <c r="C39">
        <v>34.1</v>
      </c>
      <c r="D39">
        <v>50</v>
      </c>
      <c r="E39">
        <v>13.4</v>
      </c>
      <c r="F39">
        <v>39.6</v>
      </c>
      <c r="G39">
        <v>48</v>
      </c>
      <c r="H39">
        <v>40</v>
      </c>
      <c r="I39">
        <v>64</v>
      </c>
      <c r="K39">
        <f t="shared" si="0"/>
        <v>41.387500000000003</v>
      </c>
      <c r="M39">
        <f t="shared" si="1"/>
        <v>34.875</v>
      </c>
      <c r="N39">
        <f t="shared" si="2"/>
        <v>47.9</v>
      </c>
      <c r="Q39">
        <v>2.9</v>
      </c>
      <c r="R39">
        <f t="shared" si="3"/>
        <v>38.487500000000004</v>
      </c>
    </row>
    <row r="40" spans="1:18" x14ac:dyDescent="0.25">
      <c r="A40" t="s">
        <v>80</v>
      </c>
      <c r="B40">
        <v>39.1</v>
      </c>
      <c r="C40">
        <v>13.1</v>
      </c>
      <c r="D40">
        <v>58</v>
      </c>
      <c r="E40">
        <v>69</v>
      </c>
      <c r="F40">
        <v>42</v>
      </c>
      <c r="G40">
        <v>53</v>
      </c>
      <c r="H40">
        <v>69</v>
      </c>
      <c r="I40">
        <v>56</v>
      </c>
      <c r="K40">
        <f t="shared" si="0"/>
        <v>49.9</v>
      </c>
      <c r="M40">
        <f t="shared" si="1"/>
        <v>44.8</v>
      </c>
      <c r="N40">
        <f t="shared" si="2"/>
        <v>55</v>
      </c>
      <c r="Q40">
        <v>9.3000000000000007</v>
      </c>
      <c r="R40">
        <f t="shared" si="3"/>
        <v>40.599999999999994</v>
      </c>
    </row>
    <row r="41" spans="1:18" x14ac:dyDescent="0.25">
      <c r="A41" t="s">
        <v>86</v>
      </c>
      <c r="B41">
        <v>32.299999999999997</v>
      </c>
      <c r="C41">
        <v>23.2</v>
      </c>
      <c r="D41">
        <v>11.3</v>
      </c>
      <c r="E41">
        <v>17.399999999999999</v>
      </c>
      <c r="F41">
        <v>27.1</v>
      </c>
      <c r="G41">
        <v>18.7</v>
      </c>
      <c r="H41">
        <v>18.8</v>
      </c>
      <c r="I41">
        <v>19.899999999999999</v>
      </c>
      <c r="K41">
        <f t="shared" si="0"/>
        <v>21.087499999999999</v>
      </c>
      <c r="M41">
        <f t="shared" si="1"/>
        <v>21.049999999999997</v>
      </c>
      <c r="N41">
        <f t="shared" si="2"/>
        <v>21.125</v>
      </c>
      <c r="Q41">
        <v>5</v>
      </c>
      <c r="R41">
        <f t="shared" si="3"/>
        <v>16.087499999999999</v>
      </c>
    </row>
    <row r="42" spans="1:18" x14ac:dyDescent="0.25">
      <c r="A42" t="s">
        <v>92</v>
      </c>
      <c r="B42">
        <v>4.3</v>
      </c>
      <c r="C42">
        <v>16.399999999999999</v>
      </c>
      <c r="D42">
        <v>18.2</v>
      </c>
      <c r="E42">
        <v>20.6</v>
      </c>
      <c r="F42">
        <v>13.9</v>
      </c>
      <c r="G42">
        <v>13.6</v>
      </c>
      <c r="H42">
        <v>16</v>
      </c>
      <c r="I42">
        <v>13</v>
      </c>
      <c r="K42">
        <f t="shared" si="0"/>
        <v>14.5</v>
      </c>
      <c r="M42">
        <f t="shared" si="1"/>
        <v>14.875</v>
      </c>
      <c r="N42">
        <f t="shared" si="2"/>
        <v>14.125</v>
      </c>
      <c r="Q42">
        <v>3</v>
      </c>
      <c r="R42">
        <f t="shared" si="3"/>
        <v>11.5</v>
      </c>
    </row>
    <row r="43" spans="1:18" x14ac:dyDescent="0.25">
      <c r="A43" t="s">
        <v>93</v>
      </c>
      <c r="B43">
        <v>26.7</v>
      </c>
      <c r="C43">
        <v>19.5</v>
      </c>
      <c r="D43">
        <v>18.5</v>
      </c>
      <c r="E43">
        <v>8.8000000000000007</v>
      </c>
      <c r="F43">
        <v>6.7</v>
      </c>
      <c r="G43">
        <v>8.1999999999999993</v>
      </c>
      <c r="H43">
        <v>18.3</v>
      </c>
      <c r="I43">
        <v>23.1</v>
      </c>
      <c r="K43">
        <f t="shared" si="0"/>
        <v>16.225000000000001</v>
      </c>
      <c r="M43">
        <f t="shared" si="1"/>
        <v>18.375</v>
      </c>
      <c r="N43">
        <f t="shared" si="2"/>
        <v>14.075000000000001</v>
      </c>
      <c r="Q43">
        <v>3.1</v>
      </c>
      <c r="R43">
        <f t="shared" si="3"/>
        <v>13.125000000000002</v>
      </c>
    </row>
    <row r="44" spans="1:18" x14ac:dyDescent="0.25">
      <c r="A44" t="s">
        <v>110</v>
      </c>
      <c r="B44">
        <v>37.9</v>
      </c>
      <c r="C44">
        <v>44</v>
      </c>
      <c r="D44">
        <v>63</v>
      </c>
      <c r="E44">
        <v>101</v>
      </c>
      <c r="F44">
        <v>55</v>
      </c>
      <c r="G44">
        <v>73</v>
      </c>
      <c r="H44">
        <v>22</v>
      </c>
      <c r="I44">
        <v>125</v>
      </c>
      <c r="K44">
        <f t="shared" si="0"/>
        <v>65.112499999999997</v>
      </c>
      <c r="M44">
        <f t="shared" si="1"/>
        <v>61.475000000000001</v>
      </c>
      <c r="N44">
        <f t="shared" si="2"/>
        <v>68.75</v>
      </c>
      <c r="Q44">
        <v>4.8</v>
      </c>
      <c r="R44">
        <f t="shared" si="3"/>
        <v>60.3125</v>
      </c>
    </row>
    <row r="45" spans="1:18" x14ac:dyDescent="0.25">
      <c r="A45" t="s">
        <v>120</v>
      </c>
      <c r="B45">
        <v>18.2</v>
      </c>
      <c r="C45">
        <v>38.700000000000003</v>
      </c>
      <c r="D45">
        <v>10.4</v>
      </c>
      <c r="E45" s="7"/>
      <c r="F45">
        <v>18.899999999999999</v>
      </c>
      <c r="G45">
        <v>22.9</v>
      </c>
      <c r="H45">
        <v>18.5</v>
      </c>
      <c r="I45">
        <v>29.7</v>
      </c>
      <c r="K45">
        <f t="shared" si="0"/>
        <v>22.471428571428572</v>
      </c>
      <c r="M45">
        <f t="shared" si="1"/>
        <v>22.433333333333337</v>
      </c>
      <c r="N45">
        <f t="shared" si="2"/>
        <v>22.5</v>
      </c>
      <c r="Q45">
        <v>1</v>
      </c>
      <c r="R45">
        <f t="shared" si="3"/>
        <v>21.471428571428572</v>
      </c>
    </row>
    <row r="46" spans="1:18" x14ac:dyDescent="0.25">
      <c r="A46" t="s">
        <v>125</v>
      </c>
      <c r="B46">
        <v>14.6</v>
      </c>
      <c r="C46">
        <v>21</v>
      </c>
      <c r="D46">
        <v>15.4</v>
      </c>
      <c r="E46">
        <v>10.3</v>
      </c>
      <c r="F46">
        <v>5.7</v>
      </c>
      <c r="G46">
        <v>23.8</v>
      </c>
      <c r="H46">
        <v>22.7</v>
      </c>
      <c r="I46">
        <v>9.9</v>
      </c>
      <c r="K46">
        <f t="shared" si="0"/>
        <v>15.425000000000001</v>
      </c>
      <c r="M46">
        <f t="shared" si="1"/>
        <v>15.324999999999999</v>
      </c>
      <c r="N46">
        <f t="shared" si="2"/>
        <v>15.525</v>
      </c>
      <c r="Q46">
        <v>2.7</v>
      </c>
      <c r="R46">
        <f t="shared" si="3"/>
        <v>12.725000000000001</v>
      </c>
    </row>
    <row r="47" spans="1:18" x14ac:dyDescent="0.25">
      <c r="A47" t="s">
        <v>130</v>
      </c>
      <c r="B47">
        <v>27</v>
      </c>
      <c r="C47">
        <v>26</v>
      </c>
      <c r="D47">
        <v>30.7</v>
      </c>
      <c r="E47">
        <v>34.1</v>
      </c>
      <c r="F47">
        <v>34.5</v>
      </c>
      <c r="G47">
        <v>51</v>
      </c>
      <c r="H47">
        <v>44</v>
      </c>
      <c r="I47">
        <v>26.4</v>
      </c>
      <c r="K47">
        <f t="shared" si="0"/>
        <v>34.212499999999999</v>
      </c>
      <c r="M47">
        <f t="shared" si="1"/>
        <v>29.450000000000003</v>
      </c>
      <c r="N47">
        <f t="shared" si="2"/>
        <v>38.975000000000001</v>
      </c>
      <c r="Q47">
        <v>2.9</v>
      </c>
      <c r="R47">
        <f t="shared" si="3"/>
        <v>31.3125</v>
      </c>
    </row>
    <row r="48" spans="1:18" x14ac:dyDescent="0.25">
      <c r="A48" t="s">
        <v>145</v>
      </c>
      <c r="B48">
        <v>39.700000000000003</v>
      </c>
      <c r="C48">
        <v>19.2</v>
      </c>
      <c r="D48">
        <v>23.8</v>
      </c>
      <c r="E48">
        <v>29.2</v>
      </c>
      <c r="F48">
        <v>28.8</v>
      </c>
      <c r="G48">
        <v>32.5</v>
      </c>
      <c r="H48">
        <v>19</v>
      </c>
      <c r="I48">
        <v>22.7</v>
      </c>
      <c r="K48">
        <f t="shared" si="0"/>
        <v>26.862500000000001</v>
      </c>
      <c r="M48">
        <f t="shared" si="1"/>
        <v>27.975000000000001</v>
      </c>
      <c r="N48">
        <f t="shared" si="2"/>
        <v>25.75</v>
      </c>
      <c r="Q48">
        <v>1</v>
      </c>
      <c r="R48">
        <f t="shared" si="3"/>
        <v>25.862500000000001</v>
      </c>
    </row>
    <row r="49" spans="1:18" x14ac:dyDescent="0.25">
      <c r="A49" t="s">
        <v>144</v>
      </c>
      <c r="B49">
        <v>17.2</v>
      </c>
      <c r="C49">
        <v>14.4</v>
      </c>
      <c r="D49">
        <v>23.3</v>
      </c>
      <c r="E49">
        <v>15.3</v>
      </c>
      <c r="F49">
        <v>36</v>
      </c>
      <c r="G49">
        <v>49</v>
      </c>
      <c r="H49">
        <v>42</v>
      </c>
      <c r="I49">
        <v>12.1</v>
      </c>
      <c r="K49">
        <f t="shared" si="0"/>
        <v>26.162499999999998</v>
      </c>
      <c r="M49">
        <f t="shared" si="1"/>
        <v>17.55</v>
      </c>
      <c r="N49">
        <f t="shared" si="2"/>
        <v>34.774999999999999</v>
      </c>
      <c r="Q49">
        <v>1</v>
      </c>
      <c r="R49">
        <f t="shared" si="3"/>
        <v>25.162499999999998</v>
      </c>
    </row>
    <row r="50" spans="1:18" x14ac:dyDescent="0.25">
      <c r="A50" t="s">
        <v>132</v>
      </c>
      <c r="B50">
        <v>31.7</v>
      </c>
      <c r="C50">
        <v>12</v>
      </c>
      <c r="D50">
        <v>18.8</v>
      </c>
      <c r="E50">
        <v>32.5</v>
      </c>
      <c r="F50">
        <v>19.5</v>
      </c>
      <c r="G50">
        <v>25.7</v>
      </c>
      <c r="H50">
        <v>36.4</v>
      </c>
      <c r="I50">
        <v>14</v>
      </c>
      <c r="K50">
        <f t="shared" si="0"/>
        <v>23.824999999999999</v>
      </c>
      <c r="M50">
        <f t="shared" si="1"/>
        <v>23.75</v>
      </c>
      <c r="N50">
        <f t="shared" si="2"/>
        <v>23.9</v>
      </c>
      <c r="Q50">
        <v>0.99</v>
      </c>
      <c r="R50">
        <f t="shared" si="3"/>
        <v>22.835000000000001</v>
      </c>
    </row>
    <row r="51" spans="1:18" x14ac:dyDescent="0.25">
      <c r="A51" t="s">
        <v>146</v>
      </c>
      <c r="B51">
        <v>43</v>
      </c>
      <c r="C51">
        <v>37</v>
      </c>
      <c r="D51">
        <v>37</v>
      </c>
      <c r="E51">
        <v>31.5</v>
      </c>
      <c r="F51">
        <v>51</v>
      </c>
      <c r="G51">
        <v>53</v>
      </c>
      <c r="H51">
        <v>44</v>
      </c>
      <c r="I51">
        <v>37</v>
      </c>
      <c r="K51">
        <f t="shared" si="0"/>
        <v>41.6875</v>
      </c>
      <c r="M51">
        <f t="shared" si="1"/>
        <v>37.125</v>
      </c>
      <c r="N51">
        <f t="shared" si="2"/>
        <v>46.25</v>
      </c>
      <c r="Q51">
        <v>3.6</v>
      </c>
      <c r="R51">
        <f t="shared" si="3"/>
        <v>38.087499999999999</v>
      </c>
    </row>
    <row r="52" spans="1:18" x14ac:dyDescent="0.25">
      <c r="A52" t="s">
        <v>147</v>
      </c>
      <c r="B52">
        <v>28</v>
      </c>
      <c r="C52">
        <v>25.3</v>
      </c>
      <c r="D52">
        <v>25.2</v>
      </c>
      <c r="E52">
        <v>15.7</v>
      </c>
      <c r="F52">
        <v>30.9</v>
      </c>
      <c r="G52">
        <v>18.899999999999999</v>
      </c>
      <c r="H52">
        <v>19</v>
      </c>
      <c r="I52">
        <v>16.8</v>
      </c>
      <c r="K52">
        <f t="shared" si="0"/>
        <v>22.475000000000001</v>
      </c>
      <c r="M52">
        <f t="shared" si="1"/>
        <v>23.55</v>
      </c>
      <c r="N52">
        <f t="shared" si="2"/>
        <v>21.4</v>
      </c>
      <c r="Q52">
        <v>3.6</v>
      </c>
      <c r="R52">
        <f t="shared" si="3"/>
        <v>18.875</v>
      </c>
    </row>
    <row r="53" spans="1:18" x14ac:dyDescent="0.25">
      <c r="A53" t="s">
        <v>155</v>
      </c>
      <c r="B53">
        <v>30.1</v>
      </c>
      <c r="C53">
        <v>9.9</v>
      </c>
      <c r="D53">
        <v>37.6</v>
      </c>
      <c r="E53" s="7"/>
      <c r="F53">
        <v>39.299999999999997</v>
      </c>
      <c r="G53">
        <v>5.5</v>
      </c>
      <c r="H53">
        <v>8.9</v>
      </c>
      <c r="I53">
        <v>30.6</v>
      </c>
      <c r="K53">
        <f t="shared" si="0"/>
        <v>23.128571428571426</v>
      </c>
      <c r="M53">
        <f t="shared" si="1"/>
        <v>25.866666666666664</v>
      </c>
      <c r="N53">
        <f t="shared" si="2"/>
        <v>21.074999999999999</v>
      </c>
      <c r="Q53">
        <v>1.2</v>
      </c>
      <c r="R53">
        <f t="shared" si="3"/>
        <v>21.928571428571427</v>
      </c>
    </row>
    <row r="54" spans="1:18" x14ac:dyDescent="0.25">
      <c r="A54" t="s">
        <v>158</v>
      </c>
      <c r="B54">
        <v>40</v>
      </c>
      <c r="C54">
        <v>52</v>
      </c>
      <c r="D54">
        <v>50</v>
      </c>
      <c r="E54">
        <v>29.2</v>
      </c>
      <c r="F54">
        <v>15.2</v>
      </c>
      <c r="G54">
        <v>45</v>
      </c>
      <c r="H54">
        <v>32.299999999999997</v>
      </c>
      <c r="I54">
        <v>12.7</v>
      </c>
      <c r="K54">
        <f t="shared" si="0"/>
        <v>34.549999999999997</v>
      </c>
      <c r="M54">
        <f t="shared" si="1"/>
        <v>42.8</v>
      </c>
      <c r="N54">
        <f t="shared" si="2"/>
        <v>26.3</v>
      </c>
      <c r="Q54">
        <v>3.3</v>
      </c>
      <c r="R54">
        <f t="shared" si="3"/>
        <v>31.249999999999996</v>
      </c>
    </row>
    <row r="55" spans="1:18" x14ac:dyDescent="0.25">
      <c r="A55" t="s">
        <v>162</v>
      </c>
      <c r="B55">
        <v>14.5</v>
      </c>
      <c r="C55">
        <v>13.8</v>
      </c>
      <c r="D55">
        <v>15.6</v>
      </c>
      <c r="E55">
        <v>17.7</v>
      </c>
      <c r="F55">
        <v>12.1</v>
      </c>
      <c r="G55">
        <v>31.3</v>
      </c>
      <c r="H55">
        <v>40</v>
      </c>
      <c r="I55">
        <v>40</v>
      </c>
      <c r="K55">
        <f t="shared" si="0"/>
        <v>23.125</v>
      </c>
      <c r="M55">
        <f t="shared" si="1"/>
        <v>15.399999999999999</v>
      </c>
      <c r="N55">
        <f t="shared" si="2"/>
        <v>30.85</v>
      </c>
      <c r="Q55">
        <v>2.9</v>
      </c>
      <c r="R55">
        <f t="shared" si="3"/>
        <v>20.225000000000001</v>
      </c>
    </row>
    <row r="56" spans="1:18" x14ac:dyDescent="0.25">
      <c r="A56" t="s">
        <v>160</v>
      </c>
      <c r="B56">
        <v>11.4</v>
      </c>
      <c r="C56">
        <v>23.6</v>
      </c>
      <c r="D56">
        <v>43</v>
      </c>
      <c r="E56">
        <v>41</v>
      </c>
      <c r="F56">
        <v>35.700000000000003</v>
      </c>
      <c r="G56">
        <v>4.5</v>
      </c>
      <c r="H56">
        <v>39.9</v>
      </c>
      <c r="I56">
        <v>26.6</v>
      </c>
      <c r="K56">
        <f t="shared" ref="K56:K61" si="6">AVERAGE(B56:I56)</f>
        <v>28.212499999999999</v>
      </c>
      <c r="M56">
        <f t="shared" ref="M56:M61" si="7">AVERAGE(B56:E56)</f>
        <v>29.75</v>
      </c>
      <c r="N56">
        <f t="shared" ref="N56:N61" si="8">AVERAGE(F56:I56)</f>
        <v>26.674999999999997</v>
      </c>
      <c r="Q56">
        <v>3.6</v>
      </c>
      <c r="R56">
        <f t="shared" ref="R56:R61" si="9">K56-Q56</f>
        <v>24.612499999999997</v>
      </c>
    </row>
    <row r="57" spans="1:18" x14ac:dyDescent="0.25">
      <c r="A57" t="s">
        <v>173</v>
      </c>
      <c r="B57">
        <v>48</v>
      </c>
      <c r="C57">
        <v>10.8</v>
      </c>
      <c r="D57">
        <v>11.1</v>
      </c>
      <c r="E57">
        <v>51</v>
      </c>
      <c r="F57">
        <v>13.7</v>
      </c>
      <c r="G57">
        <v>10.5</v>
      </c>
      <c r="H57">
        <v>16.3</v>
      </c>
      <c r="I57">
        <v>18.3</v>
      </c>
      <c r="K57">
        <f t="shared" si="6"/>
        <v>22.462500000000002</v>
      </c>
      <c r="M57">
        <f t="shared" si="7"/>
        <v>30.224999999999998</v>
      </c>
      <c r="N57">
        <f t="shared" si="8"/>
        <v>14.7</v>
      </c>
      <c r="Q57">
        <v>0.92</v>
      </c>
      <c r="R57">
        <f t="shared" si="9"/>
        <v>21.5425</v>
      </c>
    </row>
    <row r="58" spans="1:18" x14ac:dyDescent="0.25">
      <c r="A58" t="s">
        <v>174</v>
      </c>
      <c r="B58">
        <v>63</v>
      </c>
      <c r="C58">
        <v>55</v>
      </c>
      <c r="D58">
        <v>28.6</v>
      </c>
      <c r="E58">
        <v>77</v>
      </c>
      <c r="F58">
        <v>29</v>
      </c>
      <c r="G58">
        <v>27</v>
      </c>
      <c r="H58">
        <v>21.9</v>
      </c>
      <c r="I58">
        <v>16.399999999999999</v>
      </c>
      <c r="K58">
        <f t="shared" si="6"/>
        <v>39.737499999999997</v>
      </c>
      <c r="M58">
        <f t="shared" si="7"/>
        <v>55.9</v>
      </c>
      <c r="N58">
        <f t="shared" si="8"/>
        <v>23.575000000000003</v>
      </c>
      <c r="Q58">
        <v>2.8</v>
      </c>
      <c r="R58">
        <f t="shared" si="9"/>
        <v>36.9375</v>
      </c>
    </row>
    <row r="59" spans="1:18" x14ac:dyDescent="0.25">
      <c r="A59" t="s">
        <v>175</v>
      </c>
      <c r="B59">
        <v>25.7</v>
      </c>
      <c r="C59">
        <v>32.299999999999997</v>
      </c>
      <c r="D59">
        <v>35.1</v>
      </c>
      <c r="E59">
        <v>19.7</v>
      </c>
      <c r="F59">
        <v>12.3</v>
      </c>
      <c r="G59">
        <v>27.4</v>
      </c>
      <c r="H59">
        <v>11.6</v>
      </c>
      <c r="I59">
        <v>40</v>
      </c>
      <c r="K59">
        <f t="shared" si="6"/>
        <v>25.512499999999999</v>
      </c>
      <c r="M59">
        <f t="shared" si="7"/>
        <v>28.2</v>
      </c>
      <c r="N59">
        <f t="shared" si="8"/>
        <v>22.825000000000003</v>
      </c>
      <c r="Q59">
        <v>0.92</v>
      </c>
      <c r="R59">
        <f t="shared" si="9"/>
        <v>24.592499999999998</v>
      </c>
    </row>
    <row r="60" spans="1:18" x14ac:dyDescent="0.25">
      <c r="A60" t="s">
        <v>187</v>
      </c>
      <c r="B60">
        <v>44</v>
      </c>
      <c r="C60">
        <v>32.200000000000003</v>
      </c>
      <c r="D60">
        <v>25.9</v>
      </c>
      <c r="E60">
        <v>45</v>
      </c>
      <c r="F60">
        <v>45</v>
      </c>
      <c r="G60">
        <v>19</v>
      </c>
      <c r="H60">
        <v>23.2</v>
      </c>
      <c r="I60">
        <v>25</v>
      </c>
      <c r="K60">
        <f t="shared" si="6"/>
        <v>32.412499999999994</v>
      </c>
      <c r="M60">
        <f t="shared" si="7"/>
        <v>36.774999999999999</v>
      </c>
      <c r="N60">
        <f t="shared" si="8"/>
        <v>28.05</v>
      </c>
      <c r="Q60">
        <v>2.6</v>
      </c>
      <c r="R60">
        <f t="shared" si="9"/>
        <v>29.812499999999993</v>
      </c>
    </row>
    <row r="61" spans="1:18" x14ac:dyDescent="0.25">
      <c r="A61" t="s">
        <v>186</v>
      </c>
      <c r="B61">
        <v>23.5</v>
      </c>
      <c r="C61">
        <v>27.5</v>
      </c>
      <c r="D61">
        <v>21.1</v>
      </c>
      <c r="E61">
        <v>91</v>
      </c>
      <c r="F61">
        <v>16.8</v>
      </c>
      <c r="G61">
        <v>11.3</v>
      </c>
      <c r="H61">
        <v>31</v>
      </c>
      <c r="I61">
        <v>6.2</v>
      </c>
      <c r="K61">
        <f t="shared" si="6"/>
        <v>28.55</v>
      </c>
      <c r="M61">
        <f t="shared" si="7"/>
        <v>40.774999999999999</v>
      </c>
      <c r="N61">
        <f t="shared" si="8"/>
        <v>16.324999999999999</v>
      </c>
      <c r="Q61">
        <v>1.1000000000000001</v>
      </c>
      <c r="R61">
        <f t="shared" si="9"/>
        <v>27.45</v>
      </c>
    </row>
    <row r="63" spans="1:18" x14ac:dyDescent="0.25">
      <c r="J63" s="25"/>
      <c r="K63" s="37"/>
      <c r="L63" s="37"/>
      <c r="M63" s="37"/>
      <c r="N63" s="37"/>
      <c r="O63" s="37"/>
      <c r="P63" s="37"/>
      <c r="Q63" s="37"/>
      <c r="R63" s="37"/>
    </row>
    <row r="65" spans="10:18" x14ac:dyDescent="0.25">
      <c r="J65" s="25"/>
      <c r="K65" s="12"/>
      <c r="L65" s="12"/>
      <c r="M65" s="12"/>
      <c r="N65" s="12"/>
      <c r="O65" s="12"/>
      <c r="P65" s="12"/>
      <c r="Q65" s="12"/>
      <c r="R65" s="12"/>
    </row>
    <row r="66" spans="10:18" x14ac:dyDescent="0.25">
      <c r="J66" s="25"/>
      <c r="K66" s="12"/>
      <c r="L66" s="12"/>
      <c r="M66" s="12"/>
      <c r="N66" s="12"/>
      <c r="O66" s="12"/>
      <c r="P66" s="12"/>
      <c r="Q66" s="12"/>
      <c r="R66" s="12"/>
    </row>
    <row r="67" spans="10:18" x14ac:dyDescent="0.25">
      <c r="K67" s="12"/>
      <c r="L67" s="12"/>
      <c r="M67" s="12"/>
      <c r="N67" s="12"/>
      <c r="O67" s="12"/>
      <c r="P67" s="12"/>
      <c r="Q67" s="12"/>
      <c r="R67" s="12"/>
    </row>
    <row r="68" spans="10:18" x14ac:dyDescent="0.25">
      <c r="J68" s="25"/>
      <c r="K68" s="12"/>
      <c r="L68" s="12"/>
      <c r="M68" s="12"/>
      <c r="N68" s="12"/>
      <c r="O68" s="12"/>
      <c r="P68" s="12"/>
      <c r="Q68" s="12"/>
      <c r="R68" s="12"/>
    </row>
    <row r="69" spans="10:18" x14ac:dyDescent="0.25">
      <c r="J69" s="25"/>
      <c r="K69" s="12"/>
      <c r="L69" s="12"/>
      <c r="M69" s="12"/>
      <c r="N69" s="12"/>
      <c r="O69" s="12"/>
      <c r="P69" s="12"/>
      <c r="Q69" s="12"/>
      <c r="R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R69"/>
  <sheetViews>
    <sheetView zoomScale="55" zoomScaleNormal="55" workbookViewId="0">
      <selection activeCell="V38" sqref="V38"/>
    </sheetView>
  </sheetViews>
  <sheetFormatPr defaultRowHeight="15" x14ac:dyDescent="0.25"/>
  <sheetData>
    <row r="1" spans="1:18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Q1" s="25" t="s">
        <v>245</v>
      </c>
      <c r="R1" s="25" t="s">
        <v>246</v>
      </c>
    </row>
    <row r="2" spans="1:18" x14ac:dyDescent="0.25">
      <c r="A2" t="s">
        <v>3</v>
      </c>
      <c r="B2">
        <v>159</v>
      </c>
      <c r="C2">
        <v>196</v>
      </c>
      <c r="D2">
        <v>189</v>
      </c>
      <c r="E2">
        <v>251</v>
      </c>
      <c r="F2">
        <v>224</v>
      </c>
      <c r="G2">
        <v>203</v>
      </c>
      <c r="H2">
        <v>196</v>
      </c>
      <c r="I2">
        <v>161</v>
      </c>
      <c r="K2">
        <f>(AVERAGE(B2:I2))</f>
        <v>197.375</v>
      </c>
      <c r="M2">
        <f>AVERAGE(B2:E2)</f>
        <v>198.75</v>
      </c>
      <c r="N2">
        <f>AVERAGE(F2:I2)</f>
        <v>196</v>
      </c>
      <c r="Q2">
        <v>27</v>
      </c>
      <c r="R2">
        <f>K2-Q2</f>
        <v>170.375</v>
      </c>
    </row>
    <row r="3" spans="1:18" x14ac:dyDescent="0.25">
      <c r="A3" t="s">
        <v>13</v>
      </c>
      <c r="B3">
        <v>107</v>
      </c>
      <c r="C3">
        <v>80</v>
      </c>
      <c r="D3">
        <v>111</v>
      </c>
      <c r="E3">
        <v>93</v>
      </c>
      <c r="F3">
        <v>99</v>
      </c>
      <c r="G3">
        <v>88</v>
      </c>
      <c r="H3">
        <v>85</v>
      </c>
      <c r="I3">
        <v>81</v>
      </c>
      <c r="K3">
        <f t="shared" ref="K3:K55" si="0">(AVERAGE(B3:I3))</f>
        <v>93</v>
      </c>
      <c r="M3">
        <f t="shared" ref="M3:M55" si="1">AVERAGE(B3:E3)</f>
        <v>97.75</v>
      </c>
      <c r="N3">
        <f t="shared" ref="N3:N55" si="2">AVERAGE(F3:I3)</f>
        <v>88.25</v>
      </c>
      <c r="Q3">
        <v>16.8</v>
      </c>
      <c r="R3">
        <f t="shared" ref="R3:R55" si="3">K3-Q3</f>
        <v>76.2</v>
      </c>
    </row>
    <row r="4" spans="1:18" x14ac:dyDescent="0.25">
      <c r="A4" t="s">
        <v>68</v>
      </c>
      <c r="B4">
        <v>41</v>
      </c>
      <c r="C4" s="4">
        <v>42</v>
      </c>
      <c r="D4" s="4">
        <v>37.4</v>
      </c>
      <c r="E4" s="4">
        <v>42</v>
      </c>
      <c r="F4">
        <v>40</v>
      </c>
      <c r="G4">
        <v>90</v>
      </c>
      <c r="H4">
        <v>29.7</v>
      </c>
      <c r="I4">
        <v>49</v>
      </c>
      <c r="K4">
        <f t="shared" si="0"/>
        <v>46.387499999999996</v>
      </c>
      <c r="M4">
        <f t="shared" si="1"/>
        <v>40.6</v>
      </c>
      <c r="N4">
        <f t="shared" si="2"/>
        <v>52.174999999999997</v>
      </c>
      <c r="Q4">
        <v>14.4</v>
      </c>
      <c r="R4">
        <f t="shared" si="3"/>
        <v>31.987499999999997</v>
      </c>
    </row>
    <row r="5" spans="1:18" x14ac:dyDescent="0.25">
      <c r="A5" t="s">
        <v>69</v>
      </c>
      <c r="B5">
        <v>95</v>
      </c>
      <c r="C5" s="4">
        <v>115</v>
      </c>
      <c r="D5" s="4">
        <v>66</v>
      </c>
      <c r="E5" s="4">
        <v>51</v>
      </c>
      <c r="F5" s="4">
        <v>68</v>
      </c>
      <c r="G5" s="4">
        <v>65</v>
      </c>
      <c r="H5" s="4">
        <v>123</v>
      </c>
      <c r="I5" s="4">
        <v>64</v>
      </c>
      <c r="K5">
        <f t="shared" si="0"/>
        <v>80.875</v>
      </c>
      <c r="M5">
        <f t="shared" si="1"/>
        <v>81.75</v>
      </c>
      <c r="N5">
        <f t="shared" si="2"/>
        <v>80</v>
      </c>
      <c r="Q5">
        <v>16.3</v>
      </c>
      <c r="R5">
        <f t="shared" si="3"/>
        <v>64.575000000000003</v>
      </c>
    </row>
    <row r="6" spans="1:18" x14ac:dyDescent="0.25">
      <c r="A6" t="s">
        <v>70</v>
      </c>
      <c r="B6">
        <v>101</v>
      </c>
      <c r="C6" s="4">
        <v>117</v>
      </c>
      <c r="D6" s="4">
        <v>97</v>
      </c>
      <c r="E6" s="4">
        <v>91</v>
      </c>
      <c r="F6" s="4">
        <v>90</v>
      </c>
      <c r="G6" s="4">
        <v>75</v>
      </c>
      <c r="H6" s="4">
        <v>68</v>
      </c>
      <c r="I6" s="4">
        <v>106</v>
      </c>
      <c r="K6">
        <f t="shared" si="0"/>
        <v>93.125</v>
      </c>
      <c r="M6">
        <f t="shared" si="1"/>
        <v>101.5</v>
      </c>
      <c r="N6">
        <f t="shared" si="2"/>
        <v>84.75</v>
      </c>
      <c r="Q6">
        <v>14.5</v>
      </c>
      <c r="R6">
        <f t="shared" si="3"/>
        <v>78.625</v>
      </c>
    </row>
    <row r="7" spans="1:18" x14ac:dyDescent="0.25">
      <c r="A7" t="s">
        <v>74</v>
      </c>
      <c r="B7">
        <v>241</v>
      </c>
      <c r="C7">
        <v>124</v>
      </c>
      <c r="D7">
        <v>160</v>
      </c>
      <c r="E7">
        <v>162</v>
      </c>
      <c r="F7">
        <v>120</v>
      </c>
      <c r="G7">
        <v>86</v>
      </c>
      <c r="H7">
        <v>78</v>
      </c>
      <c r="I7">
        <v>87</v>
      </c>
      <c r="K7">
        <f t="shared" si="0"/>
        <v>132.25</v>
      </c>
      <c r="M7">
        <f t="shared" si="1"/>
        <v>171.75</v>
      </c>
      <c r="N7">
        <f t="shared" si="2"/>
        <v>92.75</v>
      </c>
      <c r="Q7">
        <v>15.5</v>
      </c>
      <c r="R7">
        <f t="shared" si="3"/>
        <v>116.75</v>
      </c>
    </row>
    <row r="8" spans="1:18" x14ac:dyDescent="0.25">
      <c r="A8" t="s">
        <v>79</v>
      </c>
      <c r="B8">
        <v>35.799999999999997</v>
      </c>
      <c r="C8">
        <v>84</v>
      </c>
      <c r="D8">
        <v>127</v>
      </c>
      <c r="E8">
        <v>93</v>
      </c>
      <c r="F8">
        <v>107</v>
      </c>
      <c r="G8">
        <v>79</v>
      </c>
      <c r="H8">
        <v>82</v>
      </c>
      <c r="I8">
        <v>213</v>
      </c>
      <c r="K8">
        <f t="shared" si="0"/>
        <v>102.6</v>
      </c>
      <c r="M8">
        <f t="shared" si="1"/>
        <v>84.95</v>
      </c>
      <c r="N8">
        <f t="shared" si="2"/>
        <v>120.25</v>
      </c>
      <c r="Q8">
        <v>14.9</v>
      </c>
      <c r="R8">
        <f t="shared" si="3"/>
        <v>87.699999999999989</v>
      </c>
    </row>
    <row r="9" spans="1:18" x14ac:dyDescent="0.25">
      <c r="A9" t="s">
        <v>80</v>
      </c>
      <c r="B9">
        <v>116</v>
      </c>
      <c r="C9">
        <v>115</v>
      </c>
      <c r="D9">
        <v>232</v>
      </c>
      <c r="E9">
        <v>190</v>
      </c>
      <c r="F9">
        <v>195</v>
      </c>
      <c r="G9">
        <v>128</v>
      </c>
      <c r="H9">
        <v>120</v>
      </c>
      <c r="I9">
        <v>191</v>
      </c>
      <c r="K9">
        <f t="shared" si="0"/>
        <v>160.875</v>
      </c>
      <c r="M9">
        <f t="shared" si="1"/>
        <v>163.25</v>
      </c>
      <c r="N9">
        <f t="shared" si="2"/>
        <v>158.5</v>
      </c>
      <c r="Q9">
        <v>22.3</v>
      </c>
      <c r="R9">
        <f t="shared" si="3"/>
        <v>138.57499999999999</v>
      </c>
    </row>
    <row r="10" spans="1:18" x14ac:dyDescent="0.25">
      <c r="A10" t="s">
        <v>86</v>
      </c>
      <c r="B10">
        <v>89</v>
      </c>
      <c r="C10">
        <v>69</v>
      </c>
      <c r="D10">
        <v>109</v>
      </c>
      <c r="E10">
        <v>64</v>
      </c>
      <c r="F10">
        <v>54</v>
      </c>
      <c r="G10">
        <v>87</v>
      </c>
      <c r="H10">
        <v>61</v>
      </c>
      <c r="I10">
        <v>65</v>
      </c>
      <c r="K10">
        <f t="shared" si="0"/>
        <v>74.75</v>
      </c>
      <c r="M10">
        <f t="shared" si="1"/>
        <v>82.75</v>
      </c>
      <c r="N10">
        <f t="shared" si="2"/>
        <v>66.75</v>
      </c>
      <c r="Q10">
        <v>14</v>
      </c>
      <c r="R10">
        <f t="shared" si="3"/>
        <v>60.75</v>
      </c>
    </row>
    <row r="11" spans="1:18" x14ac:dyDescent="0.25">
      <c r="A11" t="s">
        <v>92</v>
      </c>
      <c r="B11">
        <v>47</v>
      </c>
      <c r="C11">
        <v>58</v>
      </c>
      <c r="D11">
        <v>73</v>
      </c>
      <c r="E11">
        <v>36.1</v>
      </c>
      <c r="F11">
        <v>54</v>
      </c>
      <c r="G11">
        <v>58</v>
      </c>
      <c r="H11">
        <v>70</v>
      </c>
      <c r="I11">
        <v>47</v>
      </c>
      <c r="K11">
        <f t="shared" si="0"/>
        <v>55.387500000000003</v>
      </c>
      <c r="M11">
        <f t="shared" si="1"/>
        <v>53.524999999999999</v>
      </c>
      <c r="N11">
        <f t="shared" si="2"/>
        <v>57.25</v>
      </c>
      <c r="Q11">
        <v>14.3</v>
      </c>
      <c r="R11">
        <f t="shared" si="3"/>
        <v>41.087500000000006</v>
      </c>
    </row>
    <row r="12" spans="1:18" x14ac:dyDescent="0.25">
      <c r="A12" t="s">
        <v>93</v>
      </c>
      <c r="B12">
        <v>73</v>
      </c>
      <c r="C12">
        <v>180</v>
      </c>
      <c r="D12">
        <v>75</v>
      </c>
      <c r="E12">
        <v>36.4</v>
      </c>
      <c r="F12">
        <v>58</v>
      </c>
      <c r="G12">
        <v>120</v>
      </c>
      <c r="H12">
        <v>93</v>
      </c>
      <c r="I12">
        <v>80</v>
      </c>
      <c r="K12">
        <f t="shared" si="0"/>
        <v>89.424999999999997</v>
      </c>
      <c r="M12">
        <f t="shared" si="1"/>
        <v>91.1</v>
      </c>
      <c r="N12">
        <f t="shared" si="2"/>
        <v>87.75</v>
      </c>
      <c r="Q12">
        <v>16.100000000000001</v>
      </c>
      <c r="R12">
        <f t="shared" si="3"/>
        <v>73.324999999999989</v>
      </c>
    </row>
    <row r="13" spans="1:18" x14ac:dyDescent="0.25">
      <c r="A13" t="s">
        <v>110</v>
      </c>
      <c r="B13">
        <v>105</v>
      </c>
      <c r="C13">
        <v>102</v>
      </c>
      <c r="D13">
        <v>175</v>
      </c>
      <c r="E13">
        <v>118</v>
      </c>
      <c r="F13">
        <v>88</v>
      </c>
      <c r="G13">
        <v>119</v>
      </c>
      <c r="H13">
        <v>132</v>
      </c>
      <c r="I13">
        <v>164</v>
      </c>
      <c r="K13">
        <f t="shared" si="0"/>
        <v>125.375</v>
      </c>
      <c r="M13">
        <f t="shared" si="1"/>
        <v>125</v>
      </c>
      <c r="N13">
        <f t="shared" si="2"/>
        <v>125.75</v>
      </c>
      <c r="Q13">
        <v>22.2</v>
      </c>
      <c r="R13">
        <f t="shared" si="3"/>
        <v>103.175</v>
      </c>
    </row>
    <row r="14" spans="1:18" x14ac:dyDescent="0.25">
      <c r="A14" t="s">
        <v>120</v>
      </c>
      <c r="B14">
        <v>67</v>
      </c>
      <c r="C14">
        <v>60</v>
      </c>
      <c r="D14">
        <v>48</v>
      </c>
      <c r="E14">
        <v>45</v>
      </c>
      <c r="F14">
        <v>55</v>
      </c>
      <c r="G14">
        <v>34.700000000000003</v>
      </c>
      <c r="H14">
        <v>27.7</v>
      </c>
      <c r="I14">
        <v>45</v>
      </c>
      <c r="K14">
        <f t="shared" si="0"/>
        <v>47.8</v>
      </c>
      <c r="M14">
        <f t="shared" si="1"/>
        <v>55</v>
      </c>
      <c r="N14">
        <f t="shared" si="2"/>
        <v>40.6</v>
      </c>
      <c r="Q14">
        <v>8.6</v>
      </c>
      <c r="R14">
        <f t="shared" si="3"/>
        <v>39.199999999999996</v>
      </c>
    </row>
    <row r="15" spans="1:18" x14ac:dyDescent="0.25">
      <c r="A15" t="s">
        <v>125</v>
      </c>
      <c r="B15">
        <v>98</v>
      </c>
      <c r="C15">
        <v>48</v>
      </c>
      <c r="D15">
        <v>88</v>
      </c>
      <c r="E15">
        <v>54</v>
      </c>
      <c r="F15">
        <v>31.9</v>
      </c>
      <c r="G15">
        <v>75</v>
      </c>
      <c r="H15">
        <v>69</v>
      </c>
      <c r="I15">
        <v>70</v>
      </c>
      <c r="K15">
        <f t="shared" si="0"/>
        <v>66.737499999999997</v>
      </c>
      <c r="M15">
        <f t="shared" si="1"/>
        <v>72</v>
      </c>
      <c r="N15">
        <f t="shared" si="2"/>
        <v>61.475000000000001</v>
      </c>
      <c r="Q15">
        <v>13.8</v>
      </c>
      <c r="R15">
        <f t="shared" si="3"/>
        <v>52.9375</v>
      </c>
    </row>
    <row r="16" spans="1:18" x14ac:dyDescent="0.25">
      <c r="A16" t="s">
        <v>130</v>
      </c>
      <c r="B16">
        <v>71</v>
      </c>
      <c r="C16">
        <v>76</v>
      </c>
      <c r="D16">
        <v>92</v>
      </c>
      <c r="E16">
        <v>124</v>
      </c>
      <c r="F16">
        <v>76</v>
      </c>
      <c r="G16">
        <v>95</v>
      </c>
      <c r="H16">
        <v>109</v>
      </c>
      <c r="I16">
        <v>98</v>
      </c>
      <c r="K16">
        <f t="shared" si="0"/>
        <v>92.625</v>
      </c>
      <c r="M16">
        <f t="shared" si="1"/>
        <v>90.75</v>
      </c>
      <c r="N16">
        <f t="shared" si="2"/>
        <v>94.5</v>
      </c>
      <c r="Q16">
        <v>14.6</v>
      </c>
      <c r="R16">
        <f t="shared" si="3"/>
        <v>78.025000000000006</v>
      </c>
    </row>
    <row r="17" spans="1:18" x14ac:dyDescent="0.25">
      <c r="A17" t="s">
        <v>145</v>
      </c>
      <c r="B17">
        <v>89</v>
      </c>
      <c r="C17">
        <v>95</v>
      </c>
      <c r="D17">
        <v>98</v>
      </c>
      <c r="E17">
        <v>50</v>
      </c>
      <c r="F17">
        <v>126</v>
      </c>
      <c r="G17">
        <v>95</v>
      </c>
      <c r="H17">
        <v>157</v>
      </c>
      <c r="I17">
        <v>38.799999999999997</v>
      </c>
      <c r="K17">
        <f t="shared" si="0"/>
        <v>93.6</v>
      </c>
      <c r="M17">
        <f t="shared" si="1"/>
        <v>83</v>
      </c>
      <c r="N17">
        <f t="shared" si="2"/>
        <v>104.2</v>
      </c>
      <c r="Q17">
        <v>9.1999999999999993</v>
      </c>
      <c r="R17">
        <f t="shared" si="3"/>
        <v>84.399999999999991</v>
      </c>
    </row>
    <row r="18" spans="1:18" x14ac:dyDescent="0.25">
      <c r="A18" t="s">
        <v>144</v>
      </c>
      <c r="B18">
        <v>129</v>
      </c>
      <c r="C18">
        <v>183</v>
      </c>
      <c r="D18">
        <v>134</v>
      </c>
      <c r="E18">
        <v>163</v>
      </c>
      <c r="F18">
        <v>84</v>
      </c>
      <c r="G18">
        <v>158</v>
      </c>
      <c r="H18">
        <v>108</v>
      </c>
      <c r="I18">
        <v>95</v>
      </c>
      <c r="K18">
        <f t="shared" si="0"/>
        <v>131.75</v>
      </c>
      <c r="M18">
        <f t="shared" si="1"/>
        <v>152.25</v>
      </c>
      <c r="N18">
        <f t="shared" si="2"/>
        <v>111.25</v>
      </c>
      <c r="Q18">
        <v>9.1999999999999993</v>
      </c>
      <c r="R18">
        <f t="shared" si="3"/>
        <v>122.55</v>
      </c>
    </row>
    <row r="19" spans="1:18" x14ac:dyDescent="0.25">
      <c r="A19" t="s">
        <v>132</v>
      </c>
      <c r="B19">
        <v>90</v>
      </c>
      <c r="C19">
        <v>124</v>
      </c>
      <c r="D19">
        <v>112</v>
      </c>
      <c r="E19">
        <v>79</v>
      </c>
      <c r="F19">
        <v>112</v>
      </c>
      <c r="G19">
        <v>101</v>
      </c>
      <c r="H19">
        <v>77</v>
      </c>
      <c r="I19">
        <v>63</v>
      </c>
      <c r="K19">
        <f t="shared" si="0"/>
        <v>94.75</v>
      </c>
      <c r="M19">
        <f t="shared" si="1"/>
        <v>101.25</v>
      </c>
      <c r="N19">
        <f t="shared" si="2"/>
        <v>88.25</v>
      </c>
      <c r="Q19">
        <v>9.1999999999999993</v>
      </c>
      <c r="R19">
        <f t="shared" si="3"/>
        <v>85.55</v>
      </c>
    </row>
    <row r="20" spans="1:18" x14ac:dyDescent="0.25">
      <c r="A20" t="s">
        <v>146</v>
      </c>
      <c r="B20">
        <v>86</v>
      </c>
      <c r="C20">
        <v>113</v>
      </c>
      <c r="D20">
        <v>102</v>
      </c>
      <c r="E20">
        <v>113</v>
      </c>
      <c r="F20">
        <v>89</v>
      </c>
      <c r="G20">
        <v>111</v>
      </c>
      <c r="H20">
        <v>175</v>
      </c>
      <c r="I20">
        <v>85</v>
      </c>
      <c r="K20">
        <f t="shared" si="0"/>
        <v>109.25</v>
      </c>
      <c r="M20">
        <f t="shared" si="1"/>
        <v>103.5</v>
      </c>
      <c r="N20">
        <f t="shared" si="2"/>
        <v>115</v>
      </c>
      <c r="Q20">
        <v>17.8</v>
      </c>
      <c r="R20">
        <f t="shared" si="3"/>
        <v>91.45</v>
      </c>
    </row>
    <row r="21" spans="1:18" x14ac:dyDescent="0.25">
      <c r="A21" t="s">
        <v>147</v>
      </c>
      <c r="B21">
        <v>81</v>
      </c>
      <c r="C21">
        <v>78</v>
      </c>
      <c r="D21">
        <v>75</v>
      </c>
      <c r="E21">
        <v>46</v>
      </c>
      <c r="F21">
        <v>90</v>
      </c>
      <c r="G21">
        <v>75</v>
      </c>
      <c r="H21">
        <v>68</v>
      </c>
      <c r="I21">
        <v>61</v>
      </c>
      <c r="K21">
        <f t="shared" si="0"/>
        <v>71.75</v>
      </c>
      <c r="M21">
        <f t="shared" si="1"/>
        <v>70</v>
      </c>
      <c r="N21">
        <f t="shared" si="2"/>
        <v>73.5</v>
      </c>
      <c r="Q21">
        <v>16.399999999999999</v>
      </c>
      <c r="R21">
        <f t="shared" si="3"/>
        <v>55.35</v>
      </c>
    </row>
    <row r="22" spans="1:18" x14ac:dyDescent="0.25">
      <c r="A22" t="s">
        <v>155</v>
      </c>
      <c r="B22">
        <v>182</v>
      </c>
      <c r="C22">
        <v>91</v>
      </c>
      <c r="D22">
        <v>64</v>
      </c>
      <c r="E22">
        <v>203</v>
      </c>
      <c r="F22">
        <v>156</v>
      </c>
      <c r="G22">
        <v>154</v>
      </c>
      <c r="H22">
        <v>158</v>
      </c>
      <c r="I22">
        <v>252</v>
      </c>
      <c r="K22">
        <f t="shared" si="0"/>
        <v>157.5</v>
      </c>
      <c r="M22">
        <f t="shared" si="1"/>
        <v>135</v>
      </c>
      <c r="N22">
        <f t="shared" si="2"/>
        <v>180</v>
      </c>
      <c r="Q22">
        <v>11.7</v>
      </c>
      <c r="R22">
        <f t="shared" si="3"/>
        <v>145.80000000000001</v>
      </c>
    </row>
    <row r="23" spans="1:18" x14ac:dyDescent="0.25">
      <c r="A23" t="s">
        <v>158</v>
      </c>
      <c r="B23">
        <v>15.5</v>
      </c>
      <c r="C23">
        <v>24.9</v>
      </c>
      <c r="D23">
        <v>38.4</v>
      </c>
      <c r="E23">
        <v>89</v>
      </c>
      <c r="F23">
        <v>69</v>
      </c>
      <c r="G23">
        <v>55</v>
      </c>
      <c r="H23">
        <v>44</v>
      </c>
      <c r="I23">
        <v>41</v>
      </c>
      <c r="K23">
        <f t="shared" si="0"/>
        <v>47.1</v>
      </c>
      <c r="M23">
        <f t="shared" si="1"/>
        <v>41.95</v>
      </c>
      <c r="N23">
        <f t="shared" si="2"/>
        <v>52.25</v>
      </c>
      <c r="Q23">
        <v>15.8</v>
      </c>
      <c r="R23">
        <f t="shared" si="3"/>
        <v>31.3</v>
      </c>
    </row>
    <row r="24" spans="1:18" x14ac:dyDescent="0.25">
      <c r="A24" t="s">
        <v>162</v>
      </c>
      <c r="B24">
        <v>94</v>
      </c>
      <c r="C24">
        <v>80</v>
      </c>
      <c r="D24">
        <v>77</v>
      </c>
      <c r="E24">
        <v>116</v>
      </c>
      <c r="F24">
        <v>65</v>
      </c>
      <c r="G24">
        <v>124</v>
      </c>
      <c r="H24">
        <v>87</v>
      </c>
      <c r="I24">
        <v>107</v>
      </c>
      <c r="K24">
        <f>(AVERAGE(B24:I24))</f>
        <v>93.75</v>
      </c>
      <c r="M24">
        <f>AVERAGE(C24:E24)</f>
        <v>91</v>
      </c>
      <c r="N24">
        <f t="shared" si="2"/>
        <v>95.75</v>
      </c>
      <c r="Q24">
        <v>15.8</v>
      </c>
      <c r="R24">
        <f t="shared" si="3"/>
        <v>77.95</v>
      </c>
    </row>
    <row r="25" spans="1:18" x14ac:dyDescent="0.25">
      <c r="A25" t="s">
        <v>160</v>
      </c>
      <c r="B25">
        <v>85</v>
      </c>
      <c r="C25">
        <v>113</v>
      </c>
      <c r="D25">
        <v>78</v>
      </c>
      <c r="E25">
        <v>97</v>
      </c>
      <c r="F25">
        <v>160</v>
      </c>
      <c r="G25">
        <v>110</v>
      </c>
      <c r="H25">
        <v>140</v>
      </c>
      <c r="I25">
        <v>104</v>
      </c>
      <c r="K25">
        <f t="shared" ref="K25:K30" si="4">(AVERAGE(B25:I25))</f>
        <v>110.875</v>
      </c>
      <c r="M25">
        <f t="shared" ref="M25:M30" si="5">AVERAGE(B25:E25)</f>
        <v>93.25</v>
      </c>
      <c r="N25">
        <f t="shared" si="2"/>
        <v>128.5</v>
      </c>
      <c r="Q25">
        <v>19.600000000000001</v>
      </c>
      <c r="R25">
        <f t="shared" si="3"/>
        <v>91.275000000000006</v>
      </c>
    </row>
    <row r="26" spans="1:18" x14ac:dyDescent="0.25">
      <c r="A26" t="s">
        <v>173</v>
      </c>
      <c r="B26">
        <v>71</v>
      </c>
      <c r="C26">
        <v>69</v>
      </c>
      <c r="D26">
        <v>81</v>
      </c>
      <c r="E26">
        <v>59</v>
      </c>
      <c r="F26">
        <v>298</v>
      </c>
      <c r="G26">
        <v>66</v>
      </c>
      <c r="H26">
        <v>67</v>
      </c>
      <c r="I26">
        <v>100</v>
      </c>
      <c r="K26">
        <f t="shared" si="4"/>
        <v>101.375</v>
      </c>
      <c r="M26">
        <f t="shared" si="5"/>
        <v>70</v>
      </c>
      <c r="N26">
        <f t="shared" si="2"/>
        <v>132.75</v>
      </c>
      <c r="Q26">
        <v>13.3</v>
      </c>
      <c r="R26">
        <f t="shared" si="3"/>
        <v>88.075000000000003</v>
      </c>
    </row>
    <row r="27" spans="1:18" x14ac:dyDescent="0.25">
      <c r="A27" t="s">
        <v>174</v>
      </c>
      <c r="B27">
        <v>86</v>
      </c>
      <c r="C27">
        <v>104</v>
      </c>
      <c r="D27">
        <v>46</v>
      </c>
      <c r="E27">
        <v>95</v>
      </c>
      <c r="F27">
        <v>114</v>
      </c>
      <c r="G27">
        <v>72</v>
      </c>
      <c r="H27">
        <v>64</v>
      </c>
      <c r="I27">
        <v>58</v>
      </c>
      <c r="K27">
        <f t="shared" si="4"/>
        <v>79.875</v>
      </c>
      <c r="M27">
        <f t="shared" si="5"/>
        <v>82.75</v>
      </c>
      <c r="N27">
        <f t="shared" si="2"/>
        <v>77</v>
      </c>
      <c r="Q27">
        <v>15.4</v>
      </c>
      <c r="R27">
        <f t="shared" si="3"/>
        <v>64.474999999999994</v>
      </c>
    </row>
    <row r="28" spans="1:18" x14ac:dyDescent="0.25">
      <c r="A28" t="s">
        <v>175</v>
      </c>
      <c r="B28">
        <v>31.4</v>
      </c>
      <c r="C28">
        <v>59</v>
      </c>
      <c r="D28">
        <v>37.700000000000003</v>
      </c>
      <c r="E28">
        <v>44</v>
      </c>
      <c r="F28">
        <v>48</v>
      </c>
      <c r="G28">
        <v>61</v>
      </c>
      <c r="H28">
        <v>64</v>
      </c>
      <c r="I28">
        <v>52</v>
      </c>
      <c r="K28">
        <f t="shared" si="4"/>
        <v>49.637500000000003</v>
      </c>
      <c r="M28">
        <f t="shared" si="5"/>
        <v>43.025000000000006</v>
      </c>
      <c r="N28">
        <f t="shared" si="2"/>
        <v>56.25</v>
      </c>
      <c r="Q28">
        <v>8.5</v>
      </c>
      <c r="R28">
        <f t="shared" si="3"/>
        <v>41.137500000000003</v>
      </c>
    </row>
    <row r="29" spans="1:18" x14ac:dyDescent="0.25">
      <c r="A29" t="s">
        <v>187</v>
      </c>
      <c r="B29">
        <v>82</v>
      </c>
      <c r="C29">
        <v>90</v>
      </c>
      <c r="D29">
        <v>118</v>
      </c>
      <c r="E29">
        <v>58</v>
      </c>
      <c r="F29">
        <v>93</v>
      </c>
      <c r="G29">
        <v>100</v>
      </c>
      <c r="H29">
        <v>65</v>
      </c>
      <c r="I29">
        <v>95</v>
      </c>
      <c r="K29">
        <f t="shared" si="4"/>
        <v>87.625</v>
      </c>
      <c r="M29">
        <f t="shared" si="5"/>
        <v>87</v>
      </c>
      <c r="N29">
        <f t="shared" si="2"/>
        <v>88.25</v>
      </c>
      <c r="Q29">
        <v>13.6</v>
      </c>
      <c r="R29">
        <f t="shared" si="3"/>
        <v>74.025000000000006</v>
      </c>
    </row>
    <row r="30" spans="1:18" x14ac:dyDescent="0.25">
      <c r="A30" t="s">
        <v>186</v>
      </c>
      <c r="B30">
        <v>44</v>
      </c>
      <c r="C30">
        <v>48</v>
      </c>
      <c r="D30">
        <v>119</v>
      </c>
      <c r="E30">
        <v>94</v>
      </c>
      <c r="F30">
        <v>29.3</v>
      </c>
      <c r="G30">
        <v>38.6</v>
      </c>
      <c r="H30">
        <v>24.9</v>
      </c>
      <c r="I30">
        <v>49</v>
      </c>
      <c r="K30">
        <f t="shared" si="4"/>
        <v>55.85</v>
      </c>
      <c r="M30">
        <f t="shared" si="5"/>
        <v>76.25</v>
      </c>
      <c r="N30">
        <f t="shared" si="2"/>
        <v>35.450000000000003</v>
      </c>
      <c r="Q30">
        <v>9.8000000000000007</v>
      </c>
      <c r="R30">
        <f t="shared" si="3"/>
        <v>46.05</v>
      </c>
    </row>
    <row r="32" spans="1:18" s="25" customFormat="1" x14ac:dyDescent="0.25">
      <c r="A32" s="25" t="s">
        <v>1</v>
      </c>
    </row>
    <row r="33" spans="1:18" x14ac:dyDescent="0.25">
      <c r="A33" t="s">
        <v>3</v>
      </c>
      <c r="B33">
        <v>175</v>
      </c>
      <c r="C33">
        <v>210</v>
      </c>
      <c r="D33">
        <v>208</v>
      </c>
      <c r="E33">
        <v>163</v>
      </c>
      <c r="F33">
        <v>180</v>
      </c>
      <c r="G33">
        <v>181</v>
      </c>
      <c r="H33">
        <v>208</v>
      </c>
      <c r="I33">
        <v>178</v>
      </c>
      <c r="K33">
        <f t="shared" si="0"/>
        <v>187.875</v>
      </c>
      <c r="M33">
        <f t="shared" si="1"/>
        <v>189</v>
      </c>
      <c r="N33">
        <f t="shared" si="2"/>
        <v>186.75</v>
      </c>
      <c r="Q33">
        <v>23.8</v>
      </c>
      <c r="R33">
        <f t="shared" si="3"/>
        <v>164.07499999999999</v>
      </c>
    </row>
    <row r="34" spans="1:18" x14ac:dyDescent="0.25">
      <c r="A34" t="s">
        <v>13</v>
      </c>
      <c r="B34">
        <v>119</v>
      </c>
      <c r="C34">
        <v>65</v>
      </c>
      <c r="D34">
        <v>73</v>
      </c>
      <c r="E34">
        <v>66</v>
      </c>
      <c r="F34">
        <v>114</v>
      </c>
      <c r="G34">
        <v>91</v>
      </c>
      <c r="H34">
        <v>86</v>
      </c>
      <c r="I34">
        <v>89</v>
      </c>
      <c r="K34">
        <f t="shared" si="0"/>
        <v>87.875</v>
      </c>
      <c r="M34">
        <f t="shared" si="1"/>
        <v>80.75</v>
      </c>
      <c r="N34">
        <f t="shared" si="2"/>
        <v>95</v>
      </c>
      <c r="Q34">
        <v>13.9</v>
      </c>
      <c r="R34">
        <f t="shared" si="3"/>
        <v>73.974999999999994</v>
      </c>
    </row>
    <row r="35" spans="1:18" x14ac:dyDescent="0.25">
      <c r="A35" t="s">
        <v>68</v>
      </c>
      <c r="B35">
        <v>31.9</v>
      </c>
      <c r="C35">
        <v>89</v>
      </c>
      <c r="D35">
        <v>43</v>
      </c>
      <c r="E35">
        <v>93</v>
      </c>
      <c r="F35">
        <v>68</v>
      </c>
      <c r="G35">
        <v>77</v>
      </c>
      <c r="H35">
        <v>41</v>
      </c>
      <c r="I35">
        <v>86</v>
      </c>
      <c r="K35">
        <f t="shared" si="0"/>
        <v>66.112499999999997</v>
      </c>
      <c r="M35">
        <f t="shared" si="1"/>
        <v>64.224999999999994</v>
      </c>
      <c r="N35">
        <f t="shared" si="2"/>
        <v>68</v>
      </c>
      <c r="Q35">
        <v>10.199999999999999</v>
      </c>
      <c r="R35">
        <f t="shared" si="3"/>
        <v>55.912499999999994</v>
      </c>
    </row>
    <row r="36" spans="1:18" x14ac:dyDescent="0.25">
      <c r="A36" t="s">
        <v>69</v>
      </c>
      <c r="B36">
        <v>88</v>
      </c>
      <c r="C36">
        <v>95</v>
      </c>
      <c r="D36">
        <v>85</v>
      </c>
      <c r="E36">
        <v>95</v>
      </c>
      <c r="F36">
        <v>90</v>
      </c>
      <c r="G36">
        <v>123</v>
      </c>
      <c r="H36">
        <v>80</v>
      </c>
      <c r="I36">
        <v>58</v>
      </c>
      <c r="K36">
        <f t="shared" si="0"/>
        <v>89.25</v>
      </c>
      <c r="M36">
        <f t="shared" si="1"/>
        <v>90.75</v>
      </c>
      <c r="N36">
        <f t="shared" si="2"/>
        <v>87.75</v>
      </c>
      <c r="Q36">
        <v>14.3</v>
      </c>
      <c r="R36">
        <f t="shared" si="3"/>
        <v>74.95</v>
      </c>
    </row>
    <row r="37" spans="1:18" x14ac:dyDescent="0.25">
      <c r="A37" t="s">
        <v>70</v>
      </c>
      <c r="B37">
        <v>73</v>
      </c>
      <c r="C37">
        <v>107</v>
      </c>
      <c r="D37">
        <v>139</v>
      </c>
      <c r="E37">
        <v>68</v>
      </c>
      <c r="F37">
        <v>57</v>
      </c>
      <c r="G37">
        <v>76</v>
      </c>
      <c r="H37">
        <v>31.4</v>
      </c>
      <c r="I37">
        <v>71</v>
      </c>
      <c r="K37">
        <f t="shared" si="0"/>
        <v>77.8</v>
      </c>
      <c r="M37">
        <f t="shared" si="1"/>
        <v>96.75</v>
      </c>
      <c r="N37">
        <f t="shared" si="2"/>
        <v>58.85</v>
      </c>
      <c r="Q37">
        <v>12.4</v>
      </c>
      <c r="R37">
        <f t="shared" si="3"/>
        <v>65.399999999999991</v>
      </c>
    </row>
    <row r="38" spans="1:18" x14ac:dyDescent="0.25">
      <c r="A38" t="s">
        <v>74</v>
      </c>
      <c r="B38">
        <v>55</v>
      </c>
      <c r="C38">
        <v>88</v>
      </c>
      <c r="D38">
        <v>185</v>
      </c>
      <c r="E38">
        <v>157</v>
      </c>
      <c r="F38">
        <v>88</v>
      </c>
      <c r="G38">
        <v>145</v>
      </c>
      <c r="H38">
        <v>46</v>
      </c>
      <c r="I38">
        <v>104</v>
      </c>
      <c r="K38">
        <f t="shared" si="0"/>
        <v>108.5</v>
      </c>
      <c r="M38">
        <f t="shared" si="1"/>
        <v>121.25</v>
      </c>
      <c r="N38">
        <f t="shared" si="2"/>
        <v>95.75</v>
      </c>
      <c r="Q38">
        <v>13.3</v>
      </c>
      <c r="R38">
        <f t="shared" si="3"/>
        <v>95.2</v>
      </c>
    </row>
    <row r="39" spans="1:18" x14ac:dyDescent="0.25">
      <c r="A39" t="s">
        <v>79</v>
      </c>
      <c r="B39">
        <v>119</v>
      </c>
      <c r="C39">
        <v>99</v>
      </c>
      <c r="D39">
        <v>94</v>
      </c>
      <c r="E39">
        <v>91</v>
      </c>
      <c r="F39">
        <v>157</v>
      </c>
      <c r="G39">
        <v>112</v>
      </c>
      <c r="H39">
        <v>122</v>
      </c>
      <c r="I39">
        <v>137</v>
      </c>
      <c r="K39">
        <f t="shared" si="0"/>
        <v>116.375</v>
      </c>
      <c r="M39">
        <f t="shared" si="1"/>
        <v>100.75</v>
      </c>
      <c r="N39">
        <f t="shared" si="2"/>
        <v>132</v>
      </c>
      <c r="Q39">
        <v>12.6</v>
      </c>
      <c r="R39">
        <f t="shared" si="3"/>
        <v>103.77500000000001</v>
      </c>
    </row>
    <row r="40" spans="1:18" x14ac:dyDescent="0.25">
      <c r="A40" t="s">
        <v>80</v>
      </c>
      <c r="B40">
        <v>194</v>
      </c>
      <c r="C40">
        <v>67</v>
      </c>
      <c r="D40">
        <v>97</v>
      </c>
      <c r="E40">
        <v>216</v>
      </c>
      <c r="F40">
        <v>115</v>
      </c>
      <c r="G40">
        <v>147</v>
      </c>
      <c r="H40">
        <v>160</v>
      </c>
      <c r="I40">
        <v>225</v>
      </c>
      <c r="K40">
        <f t="shared" si="0"/>
        <v>152.625</v>
      </c>
      <c r="M40">
        <f t="shared" si="1"/>
        <v>143.5</v>
      </c>
      <c r="N40">
        <f t="shared" si="2"/>
        <v>161.75</v>
      </c>
      <c r="Q40">
        <v>19.3</v>
      </c>
      <c r="R40">
        <f t="shared" si="3"/>
        <v>133.32499999999999</v>
      </c>
    </row>
    <row r="41" spans="1:18" x14ac:dyDescent="0.25">
      <c r="A41" t="s">
        <v>86</v>
      </c>
      <c r="B41">
        <v>89</v>
      </c>
      <c r="C41">
        <v>75</v>
      </c>
      <c r="D41">
        <v>36.700000000000003</v>
      </c>
      <c r="E41">
        <v>54</v>
      </c>
      <c r="F41">
        <v>65</v>
      </c>
      <c r="G41">
        <v>34.1</v>
      </c>
      <c r="H41">
        <v>44</v>
      </c>
      <c r="I41">
        <v>55</v>
      </c>
      <c r="K41">
        <f t="shared" si="0"/>
        <v>56.6</v>
      </c>
      <c r="M41">
        <f t="shared" si="1"/>
        <v>63.674999999999997</v>
      </c>
      <c r="N41">
        <f t="shared" si="2"/>
        <v>49.524999999999999</v>
      </c>
      <c r="Q41">
        <v>11.4</v>
      </c>
      <c r="R41">
        <f t="shared" si="3"/>
        <v>45.2</v>
      </c>
    </row>
    <row r="42" spans="1:18" x14ac:dyDescent="0.25">
      <c r="A42" t="s">
        <v>92</v>
      </c>
      <c r="B42">
        <v>24.1</v>
      </c>
      <c r="C42">
        <v>90</v>
      </c>
      <c r="D42">
        <v>32.5</v>
      </c>
      <c r="E42">
        <v>93</v>
      </c>
      <c r="F42">
        <v>43</v>
      </c>
      <c r="G42">
        <v>52</v>
      </c>
      <c r="H42">
        <v>89</v>
      </c>
      <c r="I42">
        <v>70</v>
      </c>
      <c r="K42">
        <f t="shared" si="0"/>
        <v>61.7</v>
      </c>
      <c r="M42">
        <f t="shared" si="1"/>
        <v>59.9</v>
      </c>
      <c r="N42">
        <f t="shared" si="2"/>
        <v>63.5</v>
      </c>
      <c r="Q42">
        <v>12.3</v>
      </c>
      <c r="R42">
        <f t="shared" si="3"/>
        <v>49.400000000000006</v>
      </c>
    </row>
    <row r="43" spans="1:18" x14ac:dyDescent="0.25">
      <c r="A43" t="s">
        <v>93</v>
      </c>
      <c r="B43">
        <v>121</v>
      </c>
      <c r="C43">
        <v>88</v>
      </c>
      <c r="D43">
        <v>66</v>
      </c>
      <c r="E43">
        <v>78</v>
      </c>
      <c r="F43">
        <v>91</v>
      </c>
      <c r="G43">
        <v>121</v>
      </c>
      <c r="H43">
        <v>58</v>
      </c>
      <c r="I43">
        <v>57</v>
      </c>
      <c r="K43">
        <f t="shared" si="0"/>
        <v>85</v>
      </c>
      <c r="M43">
        <f t="shared" si="1"/>
        <v>88.25</v>
      </c>
      <c r="N43">
        <f t="shared" si="2"/>
        <v>81.75</v>
      </c>
      <c r="Q43">
        <v>13.5</v>
      </c>
      <c r="R43">
        <f t="shared" si="3"/>
        <v>71.5</v>
      </c>
    </row>
    <row r="44" spans="1:18" x14ac:dyDescent="0.25">
      <c r="A44" t="s">
        <v>110</v>
      </c>
      <c r="B44">
        <v>91</v>
      </c>
      <c r="C44">
        <v>123</v>
      </c>
      <c r="D44">
        <v>256</v>
      </c>
      <c r="E44">
        <v>226</v>
      </c>
      <c r="F44">
        <v>129</v>
      </c>
      <c r="G44">
        <v>193</v>
      </c>
      <c r="H44">
        <v>194</v>
      </c>
      <c r="I44">
        <v>174</v>
      </c>
      <c r="K44">
        <f t="shared" si="0"/>
        <v>173.25</v>
      </c>
      <c r="M44">
        <f t="shared" si="1"/>
        <v>174</v>
      </c>
      <c r="N44">
        <f t="shared" si="2"/>
        <v>172.5</v>
      </c>
      <c r="Q44">
        <v>19.3</v>
      </c>
      <c r="R44">
        <f t="shared" si="3"/>
        <v>153.94999999999999</v>
      </c>
    </row>
    <row r="45" spans="1:18" x14ac:dyDescent="0.25">
      <c r="A45" t="s">
        <v>120</v>
      </c>
      <c r="B45">
        <v>75</v>
      </c>
      <c r="C45">
        <v>58</v>
      </c>
      <c r="D45">
        <v>72</v>
      </c>
      <c r="E45" s="7"/>
      <c r="F45">
        <v>67</v>
      </c>
      <c r="G45">
        <v>76</v>
      </c>
      <c r="H45">
        <v>86</v>
      </c>
      <c r="I45">
        <v>77</v>
      </c>
      <c r="K45">
        <f t="shared" si="0"/>
        <v>73</v>
      </c>
      <c r="M45">
        <f t="shared" si="1"/>
        <v>68.333333333333329</v>
      </c>
      <c r="N45">
        <f t="shared" si="2"/>
        <v>76.5</v>
      </c>
      <c r="Q45">
        <v>6.3</v>
      </c>
      <c r="R45">
        <f t="shared" si="3"/>
        <v>66.7</v>
      </c>
    </row>
    <row r="46" spans="1:18" x14ac:dyDescent="0.25">
      <c r="A46" t="s">
        <v>125</v>
      </c>
      <c r="B46">
        <v>55</v>
      </c>
      <c r="C46">
        <v>77</v>
      </c>
      <c r="D46">
        <v>116</v>
      </c>
      <c r="E46">
        <v>68</v>
      </c>
      <c r="F46">
        <v>32.9</v>
      </c>
      <c r="G46">
        <v>60</v>
      </c>
      <c r="H46">
        <v>151</v>
      </c>
      <c r="I46">
        <v>61</v>
      </c>
      <c r="K46">
        <f t="shared" si="0"/>
        <v>77.612499999999997</v>
      </c>
      <c r="M46">
        <f t="shared" si="1"/>
        <v>79</v>
      </c>
      <c r="N46">
        <f t="shared" si="2"/>
        <v>76.224999999999994</v>
      </c>
      <c r="Q46">
        <v>11.4</v>
      </c>
      <c r="R46">
        <f t="shared" si="3"/>
        <v>66.212499999999991</v>
      </c>
    </row>
    <row r="47" spans="1:18" x14ac:dyDescent="0.25">
      <c r="A47" t="s">
        <v>130</v>
      </c>
      <c r="B47">
        <v>67</v>
      </c>
      <c r="C47">
        <v>87</v>
      </c>
      <c r="D47">
        <v>92</v>
      </c>
      <c r="E47">
        <v>87</v>
      </c>
      <c r="F47">
        <v>102</v>
      </c>
      <c r="G47">
        <v>109</v>
      </c>
      <c r="H47">
        <v>82</v>
      </c>
      <c r="I47">
        <v>69</v>
      </c>
      <c r="K47">
        <f t="shared" si="0"/>
        <v>86.875</v>
      </c>
      <c r="M47">
        <f t="shared" si="1"/>
        <v>83.25</v>
      </c>
      <c r="N47">
        <f t="shared" si="2"/>
        <v>90.5</v>
      </c>
      <c r="Q47">
        <v>12.3</v>
      </c>
      <c r="R47">
        <f t="shared" si="3"/>
        <v>74.575000000000003</v>
      </c>
    </row>
    <row r="48" spans="1:18" x14ac:dyDescent="0.25">
      <c r="A48" t="s">
        <v>145</v>
      </c>
      <c r="B48">
        <v>97</v>
      </c>
      <c r="C48">
        <v>33.4</v>
      </c>
      <c r="D48">
        <v>114</v>
      </c>
      <c r="E48">
        <v>61</v>
      </c>
      <c r="F48">
        <v>106</v>
      </c>
      <c r="G48">
        <v>107</v>
      </c>
      <c r="H48">
        <v>81</v>
      </c>
      <c r="I48">
        <v>66</v>
      </c>
      <c r="K48">
        <f t="shared" si="0"/>
        <v>83.174999999999997</v>
      </c>
      <c r="M48">
        <f t="shared" si="1"/>
        <v>76.349999999999994</v>
      </c>
      <c r="N48">
        <f t="shared" si="2"/>
        <v>90</v>
      </c>
      <c r="Q48">
        <v>6.7</v>
      </c>
      <c r="R48">
        <f t="shared" si="3"/>
        <v>76.474999999999994</v>
      </c>
    </row>
    <row r="49" spans="1:18" x14ac:dyDescent="0.25">
      <c r="A49" t="s">
        <v>144</v>
      </c>
      <c r="B49">
        <v>183</v>
      </c>
      <c r="C49">
        <v>173</v>
      </c>
      <c r="D49">
        <v>158</v>
      </c>
      <c r="E49">
        <v>152</v>
      </c>
      <c r="F49">
        <v>163</v>
      </c>
      <c r="G49">
        <v>130</v>
      </c>
      <c r="H49">
        <v>131</v>
      </c>
      <c r="I49">
        <v>153</v>
      </c>
      <c r="K49">
        <f t="shared" si="0"/>
        <v>155.375</v>
      </c>
      <c r="M49">
        <f t="shared" si="1"/>
        <v>166.5</v>
      </c>
      <c r="N49">
        <f t="shared" si="2"/>
        <v>144.25</v>
      </c>
      <c r="Q49">
        <v>6.7</v>
      </c>
      <c r="R49">
        <f t="shared" si="3"/>
        <v>148.67500000000001</v>
      </c>
    </row>
    <row r="50" spans="1:18" x14ac:dyDescent="0.25">
      <c r="A50" t="s">
        <v>132</v>
      </c>
      <c r="B50">
        <v>78</v>
      </c>
      <c r="C50">
        <v>45</v>
      </c>
      <c r="D50">
        <v>90</v>
      </c>
      <c r="E50">
        <v>96</v>
      </c>
      <c r="F50">
        <v>63</v>
      </c>
      <c r="G50">
        <v>100</v>
      </c>
      <c r="H50">
        <v>80</v>
      </c>
      <c r="I50">
        <v>49</v>
      </c>
      <c r="K50">
        <f t="shared" si="0"/>
        <v>75.125</v>
      </c>
      <c r="M50">
        <f t="shared" si="1"/>
        <v>77.25</v>
      </c>
      <c r="N50">
        <f t="shared" si="2"/>
        <v>73</v>
      </c>
      <c r="Q50">
        <v>6.6</v>
      </c>
      <c r="R50">
        <f t="shared" si="3"/>
        <v>68.525000000000006</v>
      </c>
    </row>
    <row r="51" spans="1:18" x14ac:dyDescent="0.25">
      <c r="A51" t="s">
        <v>146</v>
      </c>
      <c r="B51">
        <v>116</v>
      </c>
      <c r="C51">
        <v>100</v>
      </c>
      <c r="D51">
        <v>115</v>
      </c>
      <c r="E51">
        <v>106</v>
      </c>
      <c r="F51">
        <v>133</v>
      </c>
      <c r="G51">
        <v>143</v>
      </c>
      <c r="H51">
        <v>187</v>
      </c>
      <c r="I51">
        <v>93</v>
      </c>
      <c r="K51">
        <f>(AVERAGE(B51:I51))</f>
        <v>124.125</v>
      </c>
      <c r="M51">
        <f>AVERAGE(B51:E51)</f>
        <v>109.25</v>
      </c>
      <c r="N51">
        <f t="shared" si="2"/>
        <v>139</v>
      </c>
      <c r="Q51">
        <v>15.1</v>
      </c>
      <c r="R51">
        <f t="shared" si="3"/>
        <v>109.02500000000001</v>
      </c>
    </row>
    <row r="52" spans="1:18" x14ac:dyDescent="0.25">
      <c r="A52" t="s">
        <v>147</v>
      </c>
      <c r="B52">
        <v>82</v>
      </c>
      <c r="C52">
        <v>73</v>
      </c>
      <c r="D52">
        <v>72</v>
      </c>
      <c r="E52">
        <v>75</v>
      </c>
      <c r="F52">
        <v>94</v>
      </c>
      <c r="G52">
        <v>75</v>
      </c>
      <c r="H52">
        <v>70</v>
      </c>
      <c r="I52">
        <v>82</v>
      </c>
      <c r="K52">
        <f t="shared" si="0"/>
        <v>77.875</v>
      </c>
      <c r="M52">
        <f t="shared" si="1"/>
        <v>75.5</v>
      </c>
      <c r="N52">
        <f t="shared" si="2"/>
        <v>80.25</v>
      </c>
      <c r="Q52">
        <v>14.4</v>
      </c>
      <c r="R52">
        <f t="shared" si="3"/>
        <v>63.475000000000001</v>
      </c>
    </row>
    <row r="53" spans="1:18" x14ac:dyDescent="0.25">
      <c r="A53" t="s">
        <v>155</v>
      </c>
      <c r="B53">
        <v>130</v>
      </c>
      <c r="C53">
        <v>86</v>
      </c>
      <c r="D53">
        <v>107</v>
      </c>
      <c r="E53" s="7"/>
      <c r="F53">
        <v>32.200000000000003</v>
      </c>
      <c r="G53">
        <v>60</v>
      </c>
      <c r="H53">
        <v>67</v>
      </c>
      <c r="I53">
        <v>93</v>
      </c>
      <c r="K53">
        <f t="shared" si="0"/>
        <v>82.171428571428578</v>
      </c>
      <c r="M53">
        <f t="shared" si="1"/>
        <v>107.66666666666667</v>
      </c>
      <c r="N53">
        <f t="shared" si="2"/>
        <v>63.05</v>
      </c>
      <c r="Q53">
        <v>9.3000000000000007</v>
      </c>
      <c r="R53">
        <f t="shared" si="3"/>
        <v>72.871428571428581</v>
      </c>
    </row>
    <row r="54" spans="1:18" x14ac:dyDescent="0.25">
      <c r="A54" t="s">
        <v>158</v>
      </c>
      <c r="B54">
        <v>64</v>
      </c>
      <c r="C54">
        <v>63</v>
      </c>
      <c r="D54">
        <v>113</v>
      </c>
      <c r="E54">
        <v>77</v>
      </c>
      <c r="F54">
        <v>40</v>
      </c>
      <c r="G54">
        <v>74</v>
      </c>
      <c r="H54">
        <v>75</v>
      </c>
      <c r="I54">
        <v>41</v>
      </c>
      <c r="K54">
        <f t="shared" si="0"/>
        <v>68.375</v>
      </c>
      <c r="M54">
        <f t="shared" si="1"/>
        <v>79.25</v>
      </c>
      <c r="N54">
        <f t="shared" si="2"/>
        <v>57.5</v>
      </c>
      <c r="Q54">
        <v>13.6</v>
      </c>
      <c r="R54">
        <f t="shared" si="3"/>
        <v>54.774999999999999</v>
      </c>
    </row>
    <row r="55" spans="1:18" x14ac:dyDescent="0.25">
      <c r="A55" t="s">
        <v>162</v>
      </c>
      <c r="B55">
        <v>157</v>
      </c>
      <c r="C55">
        <v>102</v>
      </c>
      <c r="D55">
        <v>106</v>
      </c>
      <c r="E55">
        <v>82</v>
      </c>
      <c r="F55">
        <v>67</v>
      </c>
      <c r="G55">
        <v>117</v>
      </c>
      <c r="H55">
        <v>141</v>
      </c>
      <c r="I55">
        <v>89</v>
      </c>
      <c r="K55">
        <f t="shared" si="0"/>
        <v>107.625</v>
      </c>
      <c r="M55">
        <f t="shared" si="1"/>
        <v>111.75</v>
      </c>
      <c r="N55">
        <f t="shared" si="2"/>
        <v>103.5</v>
      </c>
      <c r="Q55">
        <v>13.1</v>
      </c>
      <c r="R55">
        <f t="shared" si="3"/>
        <v>94.525000000000006</v>
      </c>
    </row>
    <row r="56" spans="1:18" x14ac:dyDescent="0.25">
      <c r="A56" t="s">
        <v>160</v>
      </c>
      <c r="B56">
        <v>90</v>
      </c>
      <c r="C56">
        <v>109</v>
      </c>
      <c r="D56">
        <v>310</v>
      </c>
      <c r="E56">
        <v>150</v>
      </c>
      <c r="F56">
        <v>151</v>
      </c>
      <c r="G56">
        <v>52</v>
      </c>
      <c r="H56">
        <v>146</v>
      </c>
      <c r="I56">
        <v>134</v>
      </c>
      <c r="K56">
        <f t="shared" ref="K56:K61" si="6">(AVERAGE(B56:I56))</f>
        <v>142.75</v>
      </c>
      <c r="M56">
        <f t="shared" ref="M56:M61" si="7">AVERAGE(B56:E56)</f>
        <v>164.75</v>
      </c>
      <c r="N56">
        <f t="shared" ref="N56:N61" si="8">AVERAGE(F56:I56)</f>
        <v>120.75</v>
      </c>
      <c r="Q56">
        <v>16.3</v>
      </c>
      <c r="R56">
        <f t="shared" ref="R56:R61" si="9">K56-Q56</f>
        <v>126.45</v>
      </c>
    </row>
    <row r="57" spans="1:18" x14ac:dyDescent="0.25">
      <c r="A57" t="s">
        <v>173</v>
      </c>
      <c r="B57">
        <v>101</v>
      </c>
      <c r="C57">
        <v>36.299999999999997</v>
      </c>
      <c r="D57">
        <v>68</v>
      </c>
      <c r="E57">
        <v>103</v>
      </c>
      <c r="F57">
        <v>93</v>
      </c>
      <c r="G57">
        <v>61</v>
      </c>
      <c r="H57">
        <v>62</v>
      </c>
      <c r="I57">
        <v>59</v>
      </c>
      <c r="K57">
        <f t="shared" si="6"/>
        <v>72.912499999999994</v>
      </c>
      <c r="M57">
        <f t="shared" si="7"/>
        <v>77.075000000000003</v>
      </c>
      <c r="N57">
        <f t="shared" si="8"/>
        <v>68.75</v>
      </c>
      <c r="Q57">
        <v>11.1</v>
      </c>
      <c r="R57">
        <f t="shared" si="9"/>
        <v>61.812499999999993</v>
      </c>
    </row>
    <row r="58" spans="1:18" x14ac:dyDescent="0.25">
      <c r="A58" t="s">
        <v>174</v>
      </c>
      <c r="B58">
        <v>61</v>
      </c>
      <c r="C58">
        <v>78</v>
      </c>
      <c r="D58">
        <v>90</v>
      </c>
      <c r="E58">
        <v>72</v>
      </c>
      <c r="F58">
        <v>285</v>
      </c>
      <c r="G58">
        <v>68</v>
      </c>
      <c r="H58">
        <v>76</v>
      </c>
      <c r="I58">
        <v>82</v>
      </c>
      <c r="K58">
        <f t="shared" si="6"/>
        <v>101.5</v>
      </c>
      <c r="M58">
        <f t="shared" si="7"/>
        <v>75.25</v>
      </c>
      <c r="N58">
        <f t="shared" si="8"/>
        <v>127.75</v>
      </c>
      <c r="Q58">
        <v>12.6</v>
      </c>
      <c r="R58">
        <f t="shared" si="9"/>
        <v>88.9</v>
      </c>
    </row>
    <row r="59" spans="1:18" x14ac:dyDescent="0.25">
      <c r="A59" t="s">
        <v>175</v>
      </c>
      <c r="B59">
        <v>74</v>
      </c>
      <c r="C59">
        <v>39.4</v>
      </c>
      <c r="D59">
        <v>62</v>
      </c>
      <c r="E59">
        <v>51</v>
      </c>
      <c r="F59">
        <v>58</v>
      </c>
      <c r="G59">
        <v>62</v>
      </c>
      <c r="H59">
        <v>25.6</v>
      </c>
      <c r="I59">
        <v>53</v>
      </c>
      <c r="K59">
        <f t="shared" si="6"/>
        <v>53.125</v>
      </c>
      <c r="M59">
        <f t="shared" si="7"/>
        <v>56.6</v>
      </c>
      <c r="N59">
        <f t="shared" si="8"/>
        <v>49.65</v>
      </c>
      <c r="Q59">
        <v>6.2</v>
      </c>
      <c r="R59">
        <f t="shared" si="9"/>
        <v>46.924999999999997</v>
      </c>
    </row>
    <row r="60" spans="1:18" x14ac:dyDescent="0.25">
      <c r="A60" t="s">
        <v>187</v>
      </c>
      <c r="B60">
        <v>75</v>
      </c>
      <c r="C60">
        <v>79</v>
      </c>
      <c r="D60">
        <v>70</v>
      </c>
      <c r="E60">
        <v>126</v>
      </c>
      <c r="F60">
        <v>104</v>
      </c>
      <c r="G60">
        <v>75</v>
      </c>
      <c r="H60">
        <v>67</v>
      </c>
      <c r="I60">
        <v>122</v>
      </c>
      <c r="K60">
        <f t="shared" si="6"/>
        <v>89.75</v>
      </c>
      <c r="M60">
        <f t="shared" si="7"/>
        <v>87.5</v>
      </c>
      <c r="N60">
        <f t="shared" si="8"/>
        <v>92</v>
      </c>
      <c r="Q60">
        <v>11.4</v>
      </c>
      <c r="R60">
        <f t="shared" si="9"/>
        <v>78.349999999999994</v>
      </c>
    </row>
    <row r="61" spans="1:18" x14ac:dyDescent="0.25">
      <c r="A61" t="s">
        <v>186</v>
      </c>
      <c r="B61">
        <v>69</v>
      </c>
      <c r="C61">
        <v>117</v>
      </c>
      <c r="D61">
        <v>44</v>
      </c>
      <c r="E61">
        <v>230</v>
      </c>
      <c r="F61">
        <v>69</v>
      </c>
      <c r="G61">
        <v>58</v>
      </c>
      <c r="H61">
        <v>70</v>
      </c>
      <c r="I61">
        <v>47</v>
      </c>
      <c r="K61">
        <f t="shared" si="6"/>
        <v>88</v>
      </c>
      <c r="M61">
        <f t="shared" si="7"/>
        <v>115</v>
      </c>
      <c r="N61">
        <f t="shared" si="8"/>
        <v>61</v>
      </c>
      <c r="Q61">
        <v>7</v>
      </c>
      <c r="R61">
        <f t="shared" si="9"/>
        <v>81</v>
      </c>
    </row>
    <row r="63" spans="1:18" x14ac:dyDescent="0.25">
      <c r="J63" s="25"/>
      <c r="K63" s="37"/>
      <c r="L63" s="37"/>
      <c r="M63" s="37"/>
      <c r="N63" s="37"/>
      <c r="O63" s="37"/>
      <c r="P63" s="37"/>
      <c r="Q63" s="37"/>
      <c r="R63" s="37"/>
    </row>
    <row r="65" spans="10:18" x14ac:dyDescent="0.25">
      <c r="J65" s="25"/>
      <c r="K65" s="12"/>
      <c r="L65" s="12"/>
      <c r="M65" s="12"/>
      <c r="N65" s="12"/>
      <c r="O65" s="12"/>
      <c r="P65" s="12"/>
      <c r="Q65" s="12"/>
      <c r="R65" s="12"/>
    </row>
    <row r="66" spans="10:18" x14ac:dyDescent="0.25">
      <c r="J66" s="25"/>
      <c r="K66" s="12"/>
      <c r="L66" s="12"/>
      <c r="M66" s="12"/>
      <c r="N66" s="12"/>
      <c r="O66" s="12"/>
      <c r="P66" s="12"/>
      <c r="Q66" s="12"/>
      <c r="R66" s="12"/>
    </row>
    <row r="67" spans="10:18" x14ac:dyDescent="0.25">
      <c r="K67" s="12"/>
      <c r="L67" s="12"/>
      <c r="M67" s="12"/>
      <c r="N67" s="12"/>
      <c r="O67" s="12"/>
      <c r="P67" s="12"/>
      <c r="Q67" s="12"/>
      <c r="R67" s="12"/>
    </row>
    <row r="68" spans="10:18" x14ac:dyDescent="0.25">
      <c r="J68" s="25"/>
      <c r="K68" s="12"/>
      <c r="L68" s="12"/>
      <c r="M68" s="12"/>
      <c r="N68" s="12"/>
      <c r="O68" s="12"/>
      <c r="P68" s="12"/>
      <c r="Q68" s="12"/>
      <c r="R68" s="12"/>
    </row>
    <row r="69" spans="10:18" x14ac:dyDescent="0.25">
      <c r="J69" s="25"/>
      <c r="K69" s="12"/>
      <c r="L69" s="12"/>
      <c r="M69" s="12"/>
      <c r="N69" s="12"/>
      <c r="O69" s="12"/>
      <c r="P69" s="12"/>
      <c r="Q69" s="12"/>
      <c r="R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R69"/>
  <sheetViews>
    <sheetView zoomScale="55" zoomScaleNormal="55" workbookViewId="0">
      <selection activeCell="U37" sqref="U37"/>
    </sheetView>
  </sheetViews>
  <sheetFormatPr defaultRowHeight="15" x14ac:dyDescent="0.25"/>
  <sheetData>
    <row r="1" spans="1:18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Q1" s="25" t="s">
        <v>245</v>
      </c>
      <c r="R1" s="25" t="s">
        <v>246</v>
      </c>
    </row>
    <row r="2" spans="1:18" x14ac:dyDescent="0.25">
      <c r="A2" t="s">
        <v>3</v>
      </c>
      <c r="B2">
        <v>2745</v>
      </c>
      <c r="C2">
        <v>2851</v>
      </c>
      <c r="D2">
        <v>2534</v>
      </c>
      <c r="E2">
        <v>2629</v>
      </c>
      <c r="F2">
        <v>2933</v>
      </c>
      <c r="G2">
        <v>1997</v>
      </c>
      <c r="H2">
        <v>2625</v>
      </c>
      <c r="I2">
        <v>2365</v>
      </c>
      <c r="K2">
        <f>(AVERAGE(B2:I2))</f>
        <v>2584.875</v>
      </c>
      <c r="M2">
        <f>AVERAGE(B2:E2)</f>
        <v>2689.75</v>
      </c>
      <c r="N2">
        <f>AVERAGE(F2:I2)</f>
        <v>2480</v>
      </c>
      <c r="Q2">
        <v>432</v>
      </c>
      <c r="R2">
        <f>K2-Q2</f>
        <v>2152.875</v>
      </c>
    </row>
    <row r="3" spans="1:18" x14ac:dyDescent="0.25">
      <c r="A3" t="s">
        <v>13</v>
      </c>
      <c r="B3">
        <v>4700</v>
      </c>
      <c r="C3">
        <v>5382</v>
      </c>
      <c r="D3">
        <v>5394</v>
      </c>
      <c r="E3">
        <v>2478</v>
      </c>
      <c r="F3">
        <v>5435</v>
      </c>
      <c r="G3">
        <v>5192</v>
      </c>
      <c r="H3">
        <v>6027</v>
      </c>
      <c r="I3">
        <v>5349</v>
      </c>
      <c r="K3">
        <f t="shared" ref="K3:K55" si="0">(AVERAGE(B3:I3))</f>
        <v>4994.625</v>
      </c>
      <c r="M3">
        <f t="shared" ref="M3:M55" si="1">AVERAGE(B3:E3)</f>
        <v>4488.5</v>
      </c>
      <c r="N3">
        <f t="shared" ref="N3:N55" si="2">AVERAGE(F3:I3)</f>
        <v>5500.75</v>
      </c>
      <c r="Q3">
        <v>213</v>
      </c>
      <c r="R3">
        <f t="shared" ref="R3:R55" si="3">K3-Q3</f>
        <v>4781.625</v>
      </c>
    </row>
    <row r="4" spans="1:18" x14ac:dyDescent="0.25">
      <c r="A4" t="s">
        <v>68</v>
      </c>
      <c r="B4">
        <v>3404</v>
      </c>
      <c r="C4" s="4">
        <v>2251</v>
      </c>
      <c r="D4" s="4">
        <v>3036</v>
      </c>
      <c r="E4" s="4">
        <v>3249</v>
      </c>
      <c r="F4">
        <v>2859</v>
      </c>
      <c r="G4">
        <v>2070</v>
      </c>
      <c r="H4">
        <v>3260</v>
      </c>
      <c r="I4">
        <v>3002</v>
      </c>
      <c r="K4">
        <f t="shared" si="0"/>
        <v>2891.375</v>
      </c>
      <c r="M4">
        <f t="shared" si="1"/>
        <v>2985</v>
      </c>
      <c r="N4">
        <f t="shared" si="2"/>
        <v>2797.75</v>
      </c>
      <c r="Q4">
        <v>192</v>
      </c>
      <c r="R4">
        <f t="shared" si="3"/>
        <v>2699.375</v>
      </c>
    </row>
    <row r="5" spans="1:18" x14ac:dyDescent="0.25">
      <c r="A5" t="s">
        <v>69</v>
      </c>
      <c r="B5">
        <v>2238</v>
      </c>
      <c r="C5" s="4">
        <v>1834</v>
      </c>
      <c r="D5" s="4">
        <v>1987</v>
      </c>
      <c r="E5" s="4">
        <v>1988</v>
      </c>
      <c r="F5" s="4">
        <v>2255</v>
      </c>
      <c r="G5" s="4">
        <v>3672</v>
      </c>
      <c r="H5" s="4">
        <v>2854</v>
      </c>
      <c r="I5" s="4">
        <v>2965</v>
      </c>
      <c r="K5">
        <f t="shared" si="0"/>
        <v>2474.125</v>
      </c>
      <c r="M5">
        <f t="shared" si="1"/>
        <v>2011.75</v>
      </c>
      <c r="N5">
        <f t="shared" si="2"/>
        <v>2936.5</v>
      </c>
      <c r="Q5">
        <v>208</v>
      </c>
      <c r="R5">
        <f t="shared" si="3"/>
        <v>2266.125</v>
      </c>
    </row>
    <row r="6" spans="1:18" x14ac:dyDescent="0.25">
      <c r="A6" t="s">
        <v>70</v>
      </c>
      <c r="B6">
        <v>2325</v>
      </c>
      <c r="C6" s="4">
        <v>2190</v>
      </c>
      <c r="D6" s="4">
        <v>1640</v>
      </c>
      <c r="E6" s="4">
        <v>2270</v>
      </c>
      <c r="F6" s="4">
        <v>2759</v>
      </c>
      <c r="G6" s="4">
        <v>2299</v>
      </c>
      <c r="H6" s="4">
        <v>2051</v>
      </c>
      <c r="I6" s="4">
        <v>2150</v>
      </c>
      <c r="K6">
        <f t="shared" si="0"/>
        <v>2210.5</v>
      </c>
      <c r="M6">
        <f t="shared" si="1"/>
        <v>2106.25</v>
      </c>
      <c r="N6">
        <f t="shared" si="2"/>
        <v>2314.75</v>
      </c>
      <c r="Q6">
        <v>244</v>
      </c>
      <c r="R6">
        <f t="shared" si="3"/>
        <v>1966.5</v>
      </c>
    </row>
    <row r="7" spans="1:18" x14ac:dyDescent="0.25">
      <c r="A7" t="s">
        <v>74</v>
      </c>
      <c r="B7">
        <v>3502</v>
      </c>
      <c r="C7">
        <v>3380</v>
      </c>
      <c r="D7">
        <v>3199</v>
      </c>
      <c r="E7">
        <v>3243</v>
      </c>
      <c r="F7">
        <v>3103</v>
      </c>
      <c r="G7">
        <v>2485</v>
      </c>
      <c r="H7">
        <v>2434</v>
      </c>
      <c r="I7">
        <v>2837</v>
      </c>
      <c r="K7">
        <f t="shared" si="0"/>
        <v>3022.875</v>
      </c>
      <c r="M7">
        <f t="shared" si="1"/>
        <v>3331</v>
      </c>
      <c r="N7">
        <f t="shared" si="2"/>
        <v>2714.75</v>
      </c>
      <c r="Q7">
        <v>213</v>
      </c>
      <c r="R7">
        <f t="shared" si="3"/>
        <v>2809.875</v>
      </c>
    </row>
    <row r="8" spans="1:18" x14ac:dyDescent="0.25">
      <c r="A8" t="s">
        <v>79</v>
      </c>
      <c r="B8">
        <v>2646</v>
      </c>
      <c r="C8">
        <v>3284</v>
      </c>
      <c r="D8">
        <v>3633</v>
      </c>
      <c r="E8">
        <v>2578</v>
      </c>
      <c r="F8">
        <v>2419</v>
      </c>
      <c r="G8">
        <v>3559</v>
      </c>
      <c r="H8">
        <v>3130</v>
      </c>
      <c r="I8">
        <v>4117</v>
      </c>
      <c r="K8">
        <f t="shared" si="0"/>
        <v>3170.75</v>
      </c>
      <c r="M8">
        <f t="shared" si="1"/>
        <v>3035.25</v>
      </c>
      <c r="N8">
        <f t="shared" si="2"/>
        <v>3306.25</v>
      </c>
      <c r="Q8">
        <v>181</v>
      </c>
      <c r="R8">
        <f t="shared" si="3"/>
        <v>2989.75</v>
      </c>
    </row>
    <row r="9" spans="1:18" x14ac:dyDescent="0.25">
      <c r="A9" t="s">
        <v>80</v>
      </c>
      <c r="B9">
        <v>3385</v>
      </c>
      <c r="C9">
        <v>4505</v>
      </c>
      <c r="D9">
        <v>5432</v>
      </c>
      <c r="E9">
        <v>4924</v>
      </c>
      <c r="F9">
        <v>4086</v>
      </c>
      <c r="G9">
        <v>3600</v>
      </c>
      <c r="H9">
        <v>3614</v>
      </c>
      <c r="I9">
        <v>5124</v>
      </c>
      <c r="K9">
        <f t="shared" si="0"/>
        <v>4333.75</v>
      </c>
      <c r="M9">
        <f t="shared" si="1"/>
        <v>4561.5</v>
      </c>
      <c r="N9">
        <f t="shared" si="2"/>
        <v>4106</v>
      </c>
      <c r="Q9">
        <v>327</v>
      </c>
      <c r="R9">
        <f t="shared" si="3"/>
        <v>4006.75</v>
      </c>
    </row>
    <row r="10" spans="1:18" x14ac:dyDescent="0.25">
      <c r="A10" t="s">
        <v>86</v>
      </c>
      <c r="B10">
        <v>2640</v>
      </c>
      <c r="C10">
        <v>1125</v>
      </c>
      <c r="D10">
        <v>1086</v>
      </c>
      <c r="E10">
        <v>1041</v>
      </c>
      <c r="F10">
        <v>634</v>
      </c>
      <c r="G10">
        <v>2760</v>
      </c>
      <c r="H10">
        <v>1084</v>
      </c>
      <c r="I10">
        <v>722</v>
      </c>
      <c r="K10">
        <f t="shared" si="0"/>
        <v>1386.5</v>
      </c>
      <c r="M10">
        <f t="shared" si="1"/>
        <v>1473</v>
      </c>
      <c r="N10">
        <f t="shared" si="2"/>
        <v>1300</v>
      </c>
      <c r="Q10">
        <v>182</v>
      </c>
      <c r="R10">
        <f t="shared" si="3"/>
        <v>1204.5</v>
      </c>
    </row>
    <row r="11" spans="1:18" x14ac:dyDescent="0.25">
      <c r="A11" t="s">
        <v>92</v>
      </c>
      <c r="B11">
        <v>399</v>
      </c>
      <c r="C11">
        <v>741</v>
      </c>
      <c r="D11">
        <v>706</v>
      </c>
      <c r="E11">
        <v>521</v>
      </c>
      <c r="F11">
        <v>966</v>
      </c>
      <c r="G11">
        <v>939</v>
      </c>
      <c r="H11">
        <v>437</v>
      </c>
      <c r="I11">
        <v>573</v>
      </c>
      <c r="K11">
        <f t="shared" si="0"/>
        <v>660.25</v>
      </c>
      <c r="M11">
        <f t="shared" si="1"/>
        <v>591.75</v>
      </c>
      <c r="N11">
        <f t="shared" si="2"/>
        <v>728.75</v>
      </c>
      <c r="Q11">
        <v>206</v>
      </c>
      <c r="R11">
        <f t="shared" si="3"/>
        <v>454.25</v>
      </c>
    </row>
    <row r="12" spans="1:18" x14ac:dyDescent="0.25">
      <c r="A12" t="s">
        <v>93</v>
      </c>
      <c r="B12">
        <v>2923</v>
      </c>
      <c r="C12">
        <v>3519</v>
      </c>
      <c r="D12">
        <v>3154</v>
      </c>
      <c r="E12">
        <v>2735</v>
      </c>
      <c r="F12">
        <v>2840</v>
      </c>
      <c r="G12">
        <v>2073</v>
      </c>
      <c r="H12">
        <v>2429</v>
      </c>
      <c r="I12">
        <v>2309</v>
      </c>
      <c r="K12">
        <f t="shared" si="0"/>
        <v>2747.75</v>
      </c>
      <c r="M12">
        <f t="shared" si="1"/>
        <v>3082.75</v>
      </c>
      <c r="N12">
        <f t="shared" si="2"/>
        <v>2412.75</v>
      </c>
      <c r="Q12">
        <v>197</v>
      </c>
      <c r="R12">
        <f t="shared" si="3"/>
        <v>2550.75</v>
      </c>
    </row>
    <row r="13" spans="1:18" x14ac:dyDescent="0.25">
      <c r="A13" t="s">
        <v>110</v>
      </c>
      <c r="B13">
        <v>2460</v>
      </c>
      <c r="C13">
        <v>2937</v>
      </c>
      <c r="D13">
        <v>4073</v>
      </c>
      <c r="E13" s="4">
        <v>4528</v>
      </c>
      <c r="F13">
        <v>3356</v>
      </c>
      <c r="G13">
        <v>2764</v>
      </c>
      <c r="H13">
        <v>3355</v>
      </c>
      <c r="I13">
        <v>3130</v>
      </c>
      <c r="K13">
        <f t="shared" si="0"/>
        <v>3325.375</v>
      </c>
      <c r="M13">
        <f t="shared" si="1"/>
        <v>3499.5</v>
      </c>
      <c r="N13">
        <f t="shared" si="2"/>
        <v>3151.25</v>
      </c>
      <c r="Q13">
        <v>323</v>
      </c>
      <c r="R13">
        <f t="shared" si="3"/>
        <v>3002.375</v>
      </c>
    </row>
    <row r="14" spans="1:18" x14ac:dyDescent="0.25">
      <c r="A14" t="s">
        <v>120</v>
      </c>
      <c r="B14">
        <v>4143</v>
      </c>
      <c r="C14">
        <v>4040</v>
      </c>
      <c r="D14">
        <v>3780</v>
      </c>
      <c r="E14">
        <v>3624</v>
      </c>
      <c r="F14">
        <v>4087</v>
      </c>
      <c r="G14">
        <v>3531</v>
      </c>
      <c r="H14">
        <v>1854</v>
      </c>
      <c r="I14">
        <v>3924</v>
      </c>
      <c r="K14">
        <f t="shared" si="0"/>
        <v>3622.875</v>
      </c>
      <c r="M14">
        <f t="shared" si="1"/>
        <v>3896.75</v>
      </c>
      <c r="N14">
        <f t="shared" si="2"/>
        <v>3349</v>
      </c>
      <c r="Q14">
        <v>273</v>
      </c>
      <c r="R14">
        <f t="shared" si="3"/>
        <v>3349.875</v>
      </c>
    </row>
    <row r="15" spans="1:18" x14ac:dyDescent="0.25">
      <c r="A15" t="s">
        <v>125</v>
      </c>
      <c r="B15">
        <v>1420</v>
      </c>
      <c r="C15">
        <v>698</v>
      </c>
      <c r="D15">
        <v>1781</v>
      </c>
      <c r="E15">
        <v>1231</v>
      </c>
      <c r="F15">
        <v>981</v>
      </c>
      <c r="G15">
        <v>1437</v>
      </c>
      <c r="H15">
        <v>1237</v>
      </c>
      <c r="I15">
        <v>1000</v>
      </c>
      <c r="K15">
        <f t="shared" si="0"/>
        <v>1223.125</v>
      </c>
      <c r="M15">
        <f t="shared" si="1"/>
        <v>1282.5</v>
      </c>
      <c r="N15">
        <f t="shared" si="2"/>
        <v>1163.75</v>
      </c>
      <c r="Q15">
        <v>176</v>
      </c>
      <c r="R15">
        <f t="shared" si="3"/>
        <v>1047.125</v>
      </c>
    </row>
    <row r="16" spans="1:18" x14ac:dyDescent="0.25">
      <c r="A16" t="s">
        <v>130</v>
      </c>
      <c r="B16">
        <v>4407</v>
      </c>
      <c r="C16">
        <v>4477</v>
      </c>
      <c r="D16">
        <v>4796</v>
      </c>
      <c r="E16">
        <v>5149</v>
      </c>
      <c r="F16">
        <v>4038</v>
      </c>
      <c r="G16">
        <v>4730</v>
      </c>
      <c r="H16">
        <v>3880</v>
      </c>
      <c r="I16">
        <v>4198</v>
      </c>
      <c r="K16">
        <f t="shared" si="0"/>
        <v>4459.375</v>
      </c>
      <c r="M16">
        <f t="shared" si="1"/>
        <v>4707.25</v>
      </c>
      <c r="N16">
        <f t="shared" si="2"/>
        <v>4211.5</v>
      </c>
      <c r="Q16">
        <v>187</v>
      </c>
      <c r="R16">
        <f t="shared" si="3"/>
        <v>4272.375</v>
      </c>
    </row>
    <row r="17" spans="1:18" x14ac:dyDescent="0.25">
      <c r="A17" t="s">
        <v>145</v>
      </c>
      <c r="B17">
        <v>1622</v>
      </c>
      <c r="C17">
        <v>4727</v>
      </c>
      <c r="D17">
        <v>3449</v>
      </c>
      <c r="E17">
        <v>875</v>
      </c>
      <c r="F17">
        <v>3248</v>
      </c>
      <c r="G17">
        <v>2880</v>
      </c>
      <c r="H17">
        <v>3511</v>
      </c>
      <c r="I17">
        <v>1387</v>
      </c>
      <c r="K17">
        <f t="shared" si="0"/>
        <v>2712.375</v>
      </c>
      <c r="M17">
        <f t="shared" si="1"/>
        <v>2668.25</v>
      </c>
      <c r="N17">
        <f t="shared" si="2"/>
        <v>2756.5</v>
      </c>
      <c r="Q17">
        <v>179</v>
      </c>
      <c r="R17">
        <f t="shared" si="3"/>
        <v>2533.375</v>
      </c>
    </row>
    <row r="18" spans="1:18" x14ac:dyDescent="0.25">
      <c r="A18" t="s">
        <v>144</v>
      </c>
      <c r="B18">
        <v>10965</v>
      </c>
      <c r="C18">
        <v>8915</v>
      </c>
      <c r="D18">
        <v>7011</v>
      </c>
      <c r="E18">
        <v>9143</v>
      </c>
      <c r="F18">
        <v>2956</v>
      </c>
      <c r="G18">
        <v>8674</v>
      </c>
      <c r="H18">
        <v>6801</v>
      </c>
      <c r="I18">
        <v>1622</v>
      </c>
      <c r="K18">
        <f t="shared" si="0"/>
        <v>7010.875</v>
      </c>
      <c r="M18">
        <f t="shared" si="1"/>
        <v>9008.5</v>
      </c>
      <c r="N18">
        <f t="shared" si="2"/>
        <v>5013.25</v>
      </c>
      <c r="Q18">
        <v>205</v>
      </c>
      <c r="R18">
        <f t="shared" si="3"/>
        <v>6805.875</v>
      </c>
    </row>
    <row r="19" spans="1:18" x14ac:dyDescent="0.25">
      <c r="A19" t="s">
        <v>132</v>
      </c>
      <c r="B19">
        <v>6156</v>
      </c>
      <c r="C19">
        <v>6416</v>
      </c>
      <c r="D19">
        <v>5619</v>
      </c>
      <c r="E19">
        <v>1513</v>
      </c>
      <c r="F19">
        <v>6171</v>
      </c>
      <c r="G19">
        <v>1560</v>
      </c>
      <c r="H19">
        <v>4974</v>
      </c>
      <c r="I19">
        <v>5738</v>
      </c>
      <c r="K19">
        <f t="shared" si="0"/>
        <v>4768.375</v>
      </c>
      <c r="M19">
        <f t="shared" si="1"/>
        <v>4926</v>
      </c>
      <c r="N19">
        <f t="shared" si="2"/>
        <v>4610.75</v>
      </c>
      <c r="Q19">
        <v>152</v>
      </c>
      <c r="R19">
        <f t="shared" si="3"/>
        <v>4616.375</v>
      </c>
    </row>
    <row r="20" spans="1:18" x14ac:dyDescent="0.25">
      <c r="A20" t="s">
        <v>146</v>
      </c>
      <c r="B20">
        <v>3963</v>
      </c>
      <c r="C20">
        <v>3615</v>
      </c>
      <c r="D20">
        <v>4795</v>
      </c>
      <c r="E20">
        <v>3857</v>
      </c>
      <c r="F20">
        <v>3297</v>
      </c>
      <c r="G20">
        <v>3414</v>
      </c>
      <c r="H20">
        <v>4789</v>
      </c>
      <c r="I20">
        <v>2994</v>
      </c>
      <c r="K20">
        <f t="shared" si="0"/>
        <v>3840.5</v>
      </c>
      <c r="M20">
        <f t="shared" si="1"/>
        <v>4057.5</v>
      </c>
      <c r="N20">
        <f t="shared" si="2"/>
        <v>3623.5</v>
      </c>
      <c r="Q20">
        <v>233</v>
      </c>
      <c r="R20">
        <f t="shared" si="3"/>
        <v>3607.5</v>
      </c>
    </row>
    <row r="21" spans="1:18" x14ac:dyDescent="0.25">
      <c r="A21" t="s">
        <v>147</v>
      </c>
      <c r="B21">
        <v>3765</v>
      </c>
      <c r="C21">
        <v>2398</v>
      </c>
      <c r="D21">
        <v>4038</v>
      </c>
      <c r="E21">
        <v>1476</v>
      </c>
      <c r="F21">
        <v>3232</v>
      </c>
      <c r="G21">
        <v>3033</v>
      </c>
      <c r="H21">
        <v>2988</v>
      </c>
      <c r="I21">
        <v>2741</v>
      </c>
      <c r="K21">
        <f t="shared" si="0"/>
        <v>2958.875</v>
      </c>
      <c r="M21">
        <f t="shared" si="1"/>
        <v>2919.25</v>
      </c>
      <c r="N21">
        <f t="shared" si="2"/>
        <v>2998.5</v>
      </c>
      <c r="Q21">
        <v>255</v>
      </c>
      <c r="R21">
        <f t="shared" si="3"/>
        <v>2703.875</v>
      </c>
    </row>
    <row r="22" spans="1:18" x14ac:dyDescent="0.25">
      <c r="A22" t="s">
        <v>155</v>
      </c>
      <c r="B22">
        <v>3325</v>
      </c>
      <c r="C22">
        <v>2318</v>
      </c>
      <c r="D22">
        <v>2847</v>
      </c>
      <c r="E22">
        <v>1298</v>
      </c>
      <c r="F22">
        <v>3665</v>
      </c>
      <c r="G22">
        <v>3980</v>
      </c>
      <c r="H22">
        <v>4543</v>
      </c>
      <c r="I22">
        <v>3940</v>
      </c>
      <c r="K22">
        <f t="shared" si="0"/>
        <v>3239.5</v>
      </c>
      <c r="M22">
        <f t="shared" si="1"/>
        <v>2447</v>
      </c>
      <c r="N22">
        <f t="shared" si="2"/>
        <v>4032</v>
      </c>
      <c r="Q22">
        <v>182</v>
      </c>
      <c r="R22">
        <f t="shared" si="3"/>
        <v>3057.5</v>
      </c>
    </row>
    <row r="23" spans="1:18" x14ac:dyDescent="0.25">
      <c r="A23" t="s">
        <v>158</v>
      </c>
      <c r="B23">
        <v>1051</v>
      </c>
      <c r="C23">
        <v>829</v>
      </c>
      <c r="D23">
        <v>459</v>
      </c>
      <c r="E23">
        <v>966</v>
      </c>
      <c r="F23">
        <v>1188</v>
      </c>
      <c r="G23">
        <v>1771</v>
      </c>
      <c r="H23">
        <v>1833</v>
      </c>
      <c r="I23">
        <v>640</v>
      </c>
      <c r="K23">
        <f t="shared" si="0"/>
        <v>1092.125</v>
      </c>
      <c r="M23">
        <f t="shared" si="1"/>
        <v>826.25</v>
      </c>
      <c r="N23">
        <f t="shared" si="2"/>
        <v>1358</v>
      </c>
      <c r="Q23">
        <v>228</v>
      </c>
      <c r="R23">
        <f t="shared" si="3"/>
        <v>864.125</v>
      </c>
    </row>
    <row r="24" spans="1:18" x14ac:dyDescent="0.25">
      <c r="A24" t="s">
        <v>162</v>
      </c>
      <c r="B24">
        <v>2520</v>
      </c>
      <c r="C24">
        <v>3672</v>
      </c>
      <c r="D24">
        <v>2959</v>
      </c>
      <c r="E24">
        <v>2651</v>
      </c>
      <c r="F24">
        <v>2736</v>
      </c>
      <c r="G24">
        <v>3941</v>
      </c>
      <c r="H24">
        <v>2217</v>
      </c>
      <c r="I24">
        <v>4311</v>
      </c>
      <c r="K24">
        <f>(AVERAGE(B24:I24))</f>
        <v>3125.875</v>
      </c>
      <c r="M24">
        <f>AVERAGE(C24:E24)</f>
        <v>3094</v>
      </c>
      <c r="N24">
        <f t="shared" si="2"/>
        <v>3301.25</v>
      </c>
      <c r="Q24">
        <v>179</v>
      </c>
      <c r="R24">
        <f t="shared" si="3"/>
        <v>2946.875</v>
      </c>
    </row>
    <row r="25" spans="1:18" x14ac:dyDescent="0.25">
      <c r="A25" t="s">
        <v>160</v>
      </c>
      <c r="B25">
        <v>3270</v>
      </c>
      <c r="C25">
        <v>3415</v>
      </c>
      <c r="D25">
        <v>1684</v>
      </c>
      <c r="E25">
        <v>1554</v>
      </c>
      <c r="F25">
        <v>2703</v>
      </c>
      <c r="G25">
        <v>3102</v>
      </c>
      <c r="H25">
        <v>3001</v>
      </c>
      <c r="I25">
        <v>3417</v>
      </c>
      <c r="K25">
        <f t="shared" ref="K25:K30" si="4">(AVERAGE(B25:I25))</f>
        <v>2768.25</v>
      </c>
      <c r="M25">
        <f t="shared" ref="M25:M30" si="5">AVERAGE(B25:E25)</f>
        <v>2480.75</v>
      </c>
      <c r="N25">
        <f t="shared" si="2"/>
        <v>3055.75</v>
      </c>
      <c r="Q25">
        <v>214</v>
      </c>
      <c r="R25">
        <f t="shared" si="3"/>
        <v>2554.25</v>
      </c>
    </row>
    <row r="26" spans="1:18" x14ac:dyDescent="0.25">
      <c r="A26" t="s">
        <v>173</v>
      </c>
      <c r="B26">
        <v>1672</v>
      </c>
      <c r="C26">
        <v>1499</v>
      </c>
      <c r="D26">
        <v>1533</v>
      </c>
      <c r="E26">
        <v>1488</v>
      </c>
      <c r="F26">
        <v>1811</v>
      </c>
      <c r="G26">
        <v>1471</v>
      </c>
      <c r="H26">
        <v>1079</v>
      </c>
      <c r="I26">
        <v>1601</v>
      </c>
      <c r="K26">
        <f t="shared" si="4"/>
        <v>1519.25</v>
      </c>
      <c r="M26">
        <f t="shared" si="5"/>
        <v>1548</v>
      </c>
      <c r="N26">
        <f t="shared" si="2"/>
        <v>1490.5</v>
      </c>
      <c r="Q26">
        <v>172</v>
      </c>
      <c r="R26">
        <f t="shared" si="3"/>
        <v>1347.25</v>
      </c>
    </row>
    <row r="27" spans="1:18" x14ac:dyDescent="0.25">
      <c r="A27" t="s">
        <v>174</v>
      </c>
      <c r="B27">
        <v>2061</v>
      </c>
      <c r="C27">
        <v>1548</v>
      </c>
      <c r="D27">
        <v>1638</v>
      </c>
      <c r="E27">
        <v>2099</v>
      </c>
      <c r="F27">
        <v>1961</v>
      </c>
      <c r="G27">
        <v>1668</v>
      </c>
      <c r="H27">
        <v>1811</v>
      </c>
      <c r="I27">
        <v>2136</v>
      </c>
      <c r="K27">
        <f t="shared" si="4"/>
        <v>1865.25</v>
      </c>
      <c r="M27">
        <f t="shared" si="5"/>
        <v>1836.5</v>
      </c>
      <c r="N27">
        <f t="shared" si="2"/>
        <v>1894</v>
      </c>
      <c r="Q27">
        <v>173</v>
      </c>
      <c r="R27">
        <f t="shared" si="3"/>
        <v>1692.25</v>
      </c>
    </row>
    <row r="28" spans="1:18" x14ac:dyDescent="0.25">
      <c r="A28" t="s">
        <v>175</v>
      </c>
      <c r="B28">
        <v>884</v>
      </c>
      <c r="C28">
        <v>418</v>
      </c>
      <c r="D28">
        <v>314</v>
      </c>
      <c r="E28">
        <v>367</v>
      </c>
      <c r="F28">
        <v>434</v>
      </c>
      <c r="G28">
        <v>320</v>
      </c>
      <c r="H28">
        <v>388</v>
      </c>
      <c r="I28">
        <v>272</v>
      </c>
      <c r="K28">
        <f t="shared" si="4"/>
        <v>424.625</v>
      </c>
      <c r="M28">
        <f t="shared" si="5"/>
        <v>495.75</v>
      </c>
      <c r="N28">
        <f t="shared" si="2"/>
        <v>353.5</v>
      </c>
      <c r="Q28">
        <v>142</v>
      </c>
      <c r="R28">
        <f t="shared" si="3"/>
        <v>282.625</v>
      </c>
    </row>
    <row r="29" spans="1:18" x14ac:dyDescent="0.25">
      <c r="A29" t="s">
        <v>187</v>
      </c>
      <c r="B29">
        <v>2356</v>
      </c>
      <c r="C29">
        <v>2347</v>
      </c>
      <c r="D29">
        <v>2261</v>
      </c>
      <c r="E29">
        <v>2115</v>
      </c>
      <c r="F29">
        <v>2105</v>
      </c>
      <c r="G29">
        <v>1793</v>
      </c>
      <c r="H29">
        <v>1624</v>
      </c>
      <c r="I29">
        <v>2002</v>
      </c>
      <c r="K29">
        <f t="shared" si="4"/>
        <v>2075.375</v>
      </c>
      <c r="M29">
        <f t="shared" si="5"/>
        <v>2269.75</v>
      </c>
      <c r="N29">
        <f t="shared" si="2"/>
        <v>1881</v>
      </c>
      <c r="Q29">
        <v>165</v>
      </c>
      <c r="R29">
        <f t="shared" si="3"/>
        <v>1910.375</v>
      </c>
    </row>
    <row r="30" spans="1:18" x14ac:dyDescent="0.25">
      <c r="A30" t="s">
        <v>186</v>
      </c>
      <c r="B30">
        <v>4146</v>
      </c>
      <c r="C30">
        <v>3796</v>
      </c>
      <c r="D30">
        <v>3862</v>
      </c>
      <c r="E30">
        <v>4595</v>
      </c>
      <c r="F30">
        <v>2729</v>
      </c>
      <c r="G30">
        <v>2627</v>
      </c>
      <c r="H30">
        <v>3035</v>
      </c>
      <c r="I30">
        <v>1264</v>
      </c>
      <c r="K30">
        <f t="shared" si="4"/>
        <v>3256.75</v>
      </c>
      <c r="M30">
        <f t="shared" si="5"/>
        <v>4099.75</v>
      </c>
      <c r="N30">
        <f t="shared" si="2"/>
        <v>2413.75</v>
      </c>
      <c r="Q30">
        <v>169</v>
      </c>
      <c r="R30">
        <f t="shared" si="3"/>
        <v>3087.75</v>
      </c>
    </row>
    <row r="32" spans="1:18" s="25" customFormat="1" x14ac:dyDescent="0.25">
      <c r="A32" s="25" t="s">
        <v>1</v>
      </c>
    </row>
    <row r="33" spans="1:18" x14ac:dyDescent="0.25">
      <c r="A33" t="s">
        <v>3</v>
      </c>
      <c r="B33">
        <v>2534</v>
      </c>
      <c r="C33">
        <v>2452</v>
      </c>
      <c r="D33">
        <v>2932</v>
      </c>
      <c r="E33">
        <v>1844</v>
      </c>
      <c r="F33">
        <v>2391</v>
      </c>
      <c r="G33">
        <v>2292</v>
      </c>
      <c r="H33">
        <v>2826</v>
      </c>
      <c r="I33">
        <v>2480</v>
      </c>
      <c r="K33">
        <f t="shared" si="0"/>
        <v>2468.875</v>
      </c>
      <c r="M33">
        <f t="shared" si="1"/>
        <v>2440.5</v>
      </c>
      <c r="N33">
        <f t="shared" si="2"/>
        <v>2497.25</v>
      </c>
      <c r="Q33">
        <v>428</v>
      </c>
      <c r="R33">
        <f t="shared" si="3"/>
        <v>2040.875</v>
      </c>
    </row>
    <row r="34" spans="1:18" x14ac:dyDescent="0.25">
      <c r="A34" t="s">
        <v>13</v>
      </c>
      <c r="B34">
        <v>6297</v>
      </c>
      <c r="C34">
        <v>6949</v>
      </c>
      <c r="D34">
        <v>5610</v>
      </c>
      <c r="E34">
        <v>5005</v>
      </c>
      <c r="F34">
        <v>5006</v>
      </c>
      <c r="G34">
        <v>4818</v>
      </c>
      <c r="H34">
        <v>5178</v>
      </c>
      <c r="I34">
        <v>1932</v>
      </c>
      <c r="K34">
        <f t="shared" si="0"/>
        <v>5099.375</v>
      </c>
      <c r="M34">
        <f t="shared" si="1"/>
        <v>5965.25</v>
      </c>
      <c r="N34">
        <f t="shared" si="2"/>
        <v>4233.5</v>
      </c>
      <c r="Q34">
        <v>206</v>
      </c>
      <c r="R34">
        <f t="shared" si="3"/>
        <v>4893.375</v>
      </c>
    </row>
    <row r="35" spans="1:18" x14ac:dyDescent="0.25">
      <c r="A35" t="s">
        <v>68</v>
      </c>
      <c r="B35">
        <v>2151</v>
      </c>
      <c r="C35">
        <v>1396</v>
      </c>
      <c r="D35">
        <v>1979</v>
      </c>
      <c r="E35">
        <v>2072</v>
      </c>
      <c r="F35">
        <v>2942</v>
      </c>
      <c r="G35">
        <v>3754</v>
      </c>
      <c r="H35">
        <v>2999</v>
      </c>
      <c r="I35">
        <v>2551</v>
      </c>
      <c r="K35">
        <f t="shared" si="0"/>
        <v>2480.5</v>
      </c>
      <c r="M35">
        <f t="shared" si="1"/>
        <v>1899.5</v>
      </c>
      <c r="N35">
        <f t="shared" si="2"/>
        <v>3061.5</v>
      </c>
      <c r="Q35">
        <v>189</v>
      </c>
      <c r="R35">
        <f t="shared" si="3"/>
        <v>2291.5</v>
      </c>
    </row>
    <row r="36" spans="1:18" x14ac:dyDescent="0.25">
      <c r="A36" t="s">
        <v>69</v>
      </c>
      <c r="B36">
        <v>2835</v>
      </c>
      <c r="C36">
        <v>2875</v>
      </c>
      <c r="D36">
        <v>2939</v>
      </c>
      <c r="E36">
        <v>1099</v>
      </c>
      <c r="F36">
        <v>1444</v>
      </c>
      <c r="G36">
        <v>3325</v>
      </c>
      <c r="H36">
        <v>2495</v>
      </c>
      <c r="I36">
        <v>2041</v>
      </c>
      <c r="K36">
        <f t="shared" si="0"/>
        <v>2381.625</v>
      </c>
      <c r="M36">
        <f t="shared" si="1"/>
        <v>2437</v>
      </c>
      <c r="N36">
        <f t="shared" si="2"/>
        <v>2326.25</v>
      </c>
      <c r="Q36">
        <v>213</v>
      </c>
      <c r="R36">
        <f t="shared" si="3"/>
        <v>2168.625</v>
      </c>
    </row>
    <row r="37" spans="1:18" x14ac:dyDescent="0.25">
      <c r="A37" t="s">
        <v>70</v>
      </c>
      <c r="B37">
        <v>2328</v>
      </c>
      <c r="C37">
        <v>2196</v>
      </c>
      <c r="D37">
        <v>2477</v>
      </c>
      <c r="E37">
        <v>1575</v>
      </c>
      <c r="F37">
        <v>1840</v>
      </c>
      <c r="G37">
        <v>2354</v>
      </c>
      <c r="H37">
        <v>1765</v>
      </c>
      <c r="I37">
        <v>2215</v>
      </c>
      <c r="K37">
        <f>(AVERAGE(B37:I37))</f>
        <v>2093.75</v>
      </c>
      <c r="M37">
        <f t="shared" si="1"/>
        <v>2144</v>
      </c>
      <c r="N37">
        <f>AVERAGE(F37:I37)</f>
        <v>2043.5</v>
      </c>
      <c r="Q37">
        <v>229</v>
      </c>
      <c r="R37">
        <f t="shared" si="3"/>
        <v>1864.75</v>
      </c>
    </row>
    <row r="38" spans="1:18" x14ac:dyDescent="0.25">
      <c r="A38" t="s">
        <v>74</v>
      </c>
      <c r="B38">
        <v>2911</v>
      </c>
      <c r="C38">
        <v>3450</v>
      </c>
      <c r="D38">
        <v>3392</v>
      </c>
      <c r="E38">
        <v>1402</v>
      </c>
      <c r="F38">
        <v>2898</v>
      </c>
      <c r="G38">
        <v>3080</v>
      </c>
      <c r="H38">
        <v>2860</v>
      </c>
      <c r="I38">
        <v>2598</v>
      </c>
      <c r="K38">
        <f t="shared" si="0"/>
        <v>2823.875</v>
      </c>
      <c r="M38">
        <f t="shared" si="1"/>
        <v>2788.75</v>
      </c>
      <c r="N38">
        <f t="shared" si="2"/>
        <v>2859</v>
      </c>
      <c r="Q38">
        <v>211</v>
      </c>
      <c r="R38">
        <f t="shared" si="3"/>
        <v>2612.875</v>
      </c>
    </row>
    <row r="39" spans="1:18" x14ac:dyDescent="0.25">
      <c r="A39" t="s">
        <v>79</v>
      </c>
      <c r="B39">
        <v>2895</v>
      </c>
      <c r="C39">
        <v>3462</v>
      </c>
      <c r="D39">
        <v>3086</v>
      </c>
      <c r="E39">
        <v>3240</v>
      </c>
      <c r="F39">
        <v>3816</v>
      </c>
      <c r="G39">
        <v>3720</v>
      </c>
      <c r="H39" s="4">
        <v>6209</v>
      </c>
      <c r="I39" s="4">
        <v>6715</v>
      </c>
      <c r="K39">
        <f t="shared" si="0"/>
        <v>4142.875</v>
      </c>
      <c r="M39">
        <f t="shared" si="1"/>
        <v>3170.75</v>
      </c>
      <c r="N39">
        <f t="shared" si="2"/>
        <v>5115</v>
      </c>
      <c r="Q39">
        <v>179</v>
      </c>
      <c r="R39">
        <f t="shared" si="3"/>
        <v>3963.875</v>
      </c>
    </row>
    <row r="40" spans="1:18" x14ac:dyDescent="0.25">
      <c r="A40" t="s">
        <v>80</v>
      </c>
      <c r="B40">
        <v>4248</v>
      </c>
      <c r="C40">
        <v>4493</v>
      </c>
      <c r="D40">
        <v>5817</v>
      </c>
      <c r="E40">
        <v>5428</v>
      </c>
      <c r="F40">
        <v>2536</v>
      </c>
      <c r="G40" s="4">
        <v>5983</v>
      </c>
      <c r="H40">
        <v>5416</v>
      </c>
      <c r="I40">
        <v>4986</v>
      </c>
      <c r="K40">
        <f t="shared" si="0"/>
        <v>4863.375</v>
      </c>
      <c r="M40">
        <f t="shared" si="1"/>
        <v>4996.5</v>
      </c>
      <c r="N40">
        <f t="shared" si="2"/>
        <v>4730.25</v>
      </c>
      <c r="Q40">
        <v>324</v>
      </c>
      <c r="R40">
        <f t="shared" si="3"/>
        <v>4539.375</v>
      </c>
    </row>
    <row r="41" spans="1:18" x14ac:dyDescent="0.25">
      <c r="A41" t="s">
        <v>86</v>
      </c>
      <c r="B41">
        <v>1563</v>
      </c>
      <c r="C41">
        <v>841</v>
      </c>
      <c r="D41">
        <v>922</v>
      </c>
      <c r="E41">
        <v>651</v>
      </c>
      <c r="F41">
        <v>1153</v>
      </c>
      <c r="G41">
        <v>912</v>
      </c>
      <c r="H41">
        <v>904</v>
      </c>
      <c r="I41">
        <v>1300</v>
      </c>
      <c r="K41">
        <f t="shared" si="0"/>
        <v>1030.75</v>
      </c>
      <c r="M41">
        <f t="shared" si="1"/>
        <v>994.25</v>
      </c>
      <c r="N41">
        <f t="shared" si="2"/>
        <v>1067.25</v>
      </c>
      <c r="Q41">
        <v>168</v>
      </c>
      <c r="R41">
        <f t="shared" si="3"/>
        <v>862.75</v>
      </c>
    </row>
    <row r="42" spans="1:18" x14ac:dyDescent="0.25">
      <c r="A42" t="s">
        <v>92</v>
      </c>
      <c r="B42">
        <v>1246</v>
      </c>
      <c r="C42">
        <v>616</v>
      </c>
      <c r="D42">
        <v>663</v>
      </c>
      <c r="E42">
        <v>798</v>
      </c>
      <c r="F42">
        <v>764</v>
      </c>
      <c r="G42">
        <v>810</v>
      </c>
      <c r="H42">
        <v>839</v>
      </c>
      <c r="I42">
        <v>548</v>
      </c>
      <c r="K42">
        <f t="shared" si="0"/>
        <v>785.5</v>
      </c>
      <c r="M42">
        <f t="shared" si="1"/>
        <v>830.75</v>
      </c>
      <c r="N42">
        <f t="shared" si="2"/>
        <v>740.25</v>
      </c>
      <c r="Q42">
        <v>204</v>
      </c>
      <c r="R42">
        <f t="shared" si="3"/>
        <v>581.5</v>
      </c>
    </row>
    <row r="43" spans="1:18" x14ac:dyDescent="0.25">
      <c r="A43" t="s">
        <v>93</v>
      </c>
      <c r="B43">
        <v>2386</v>
      </c>
      <c r="C43">
        <v>3019</v>
      </c>
      <c r="D43">
        <v>2287</v>
      </c>
      <c r="E43">
        <v>2647</v>
      </c>
      <c r="F43">
        <v>2430</v>
      </c>
      <c r="G43">
        <v>2883</v>
      </c>
      <c r="H43">
        <v>2143</v>
      </c>
      <c r="I43">
        <v>2482</v>
      </c>
      <c r="K43">
        <f t="shared" si="0"/>
        <v>2534.625</v>
      </c>
      <c r="M43">
        <f t="shared" si="1"/>
        <v>2584.75</v>
      </c>
      <c r="N43">
        <f t="shared" si="2"/>
        <v>2484.5</v>
      </c>
      <c r="Q43">
        <v>195</v>
      </c>
      <c r="R43">
        <f t="shared" si="3"/>
        <v>2339.625</v>
      </c>
    </row>
    <row r="44" spans="1:18" x14ac:dyDescent="0.25">
      <c r="A44" t="s">
        <v>110</v>
      </c>
      <c r="B44">
        <v>3227</v>
      </c>
      <c r="C44">
        <v>3275</v>
      </c>
      <c r="D44">
        <v>4280</v>
      </c>
      <c r="E44">
        <v>4191</v>
      </c>
      <c r="F44">
        <v>3273</v>
      </c>
      <c r="G44">
        <v>3409</v>
      </c>
      <c r="H44">
        <v>3360</v>
      </c>
      <c r="I44">
        <v>2869</v>
      </c>
      <c r="K44">
        <f t="shared" si="0"/>
        <v>3485.5</v>
      </c>
      <c r="M44">
        <f t="shared" si="1"/>
        <v>3743.25</v>
      </c>
      <c r="N44">
        <f t="shared" si="2"/>
        <v>3227.75</v>
      </c>
      <c r="Q44">
        <v>320</v>
      </c>
      <c r="R44">
        <f t="shared" si="3"/>
        <v>3165.5</v>
      </c>
    </row>
    <row r="45" spans="1:18" x14ac:dyDescent="0.25">
      <c r="A45" t="s">
        <v>120</v>
      </c>
      <c r="B45">
        <v>4297</v>
      </c>
      <c r="C45">
        <v>4433</v>
      </c>
      <c r="D45">
        <v>4175</v>
      </c>
      <c r="E45" s="7"/>
      <c r="F45">
        <v>3513</v>
      </c>
      <c r="G45">
        <v>3923</v>
      </c>
      <c r="H45">
        <v>2591</v>
      </c>
      <c r="I45">
        <v>3615</v>
      </c>
      <c r="K45">
        <f t="shared" si="0"/>
        <v>3792.4285714285716</v>
      </c>
      <c r="M45">
        <f t="shared" si="1"/>
        <v>4301.666666666667</v>
      </c>
      <c r="N45">
        <f t="shared" si="2"/>
        <v>3410.5</v>
      </c>
      <c r="Q45">
        <v>270</v>
      </c>
      <c r="R45">
        <f t="shared" si="3"/>
        <v>3522.4285714285716</v>
      </c>
    </row>
    <row r="46" spans="1:18" x14ac:dyDescent="0.25">
      <c r="A46" t="s">
        <v>125</v>
      </c>
      <c r="B46">
        <v>1087</v>
      </c>
      <c r="C46">
        <v>930</v>
      </c>
      <c r="D46">
        <v>1238</v>
      </c>
      <c r="E46">
        <v>744</v>
      </c>
      <c r="F46">
        <v>2112</v>
      </c>
      <c r="G46">
        <v>1931</v>
      </c>
      <c r="H46">
        <v>1915</v>
      </c>
      <c r="I46">
        <v>1955</v>
      </c>
      <c r="K46">
        <f t="shared" si="0"/>
        <v>1489</v>
      </c>
      <c r="M46">
        <f t="shared" si="1"/>
        <v>999.75</v>
      </c>
      <c r="N46">
        <f t="shared" si="2"/>
        <v>1978.25</v>
      </c>
      <c r="Q46">
        <v>171</v>
      </c>
      <c r="R46">
        <f t="shared" si="3"/>
        <v>1318</v>
      </c>
    </row>
    <row r="47" spans="1:18" x14ac:dyDescent="0.25">
      <c r="A47" t="s">
        <v>130</v>
      </c>
      <c r="B47">
        <v>3110</v>
      </c>
      <c r="C47">
        <v>4288</v>
      </c>
      <c r="D47">
        <v>4227</v>
      </c>
      <c r="E47">
        <v>4501</v>
      </c>
      <c r="F47">
        <v>3458</v>
      </c>
      <c r="G47">
        <v>4315</v>
      </c>
      <c r="H47">
        <v>5972</v>
      </c>
      <c r="I47">
        <v>3833</v>
      </c>
      <c r="K47">
        <f t="shared" si="0"/>
        <v>4213</v>
      </c>
      <c r="M47">
        <f t="shared" si="1"/>
        <v>4031.5</v>
      </c>
      <c r="N47">
        <f t="shared" si="2"/>
        <v>4394.5</v>
      </c>
      <c r="Q47">
        <v>184</v>
      </c>
      <c r="R47">
        <f t="shared" si="3"/>
        <v>4029</v>
      </c>
    </row>
    <row r="48" spans="1:18" x14ac:dyDescent="0.25">
      <c r="A48" t="s">
        <v>145</v>
      </c>
      <c r="B48">
        <v>2011</v>
      </c>
      <c r="C48">
        <v>744</v>
      </c>
      <c r="D48">
        <v>837</v>
      </c>
      <c r="E48">
        <v>1095</v>
      </c>
      <c r="F48">
        <v>4010</v>
      </c>
      <c r="G48">
        <v>3831</v>
      </c>
      <c r="H48">
        <v>902</v>
      </c>
      <c r="I48">
        <v>3885</v>
      </c>
      <c r="K48">
        <f t="shared" si="0"/>
        <v>2164.375</v>
      </c>
      <c r="M48">
        <f t="shared" si="1"/>
        <v>1171.75</v>
      </c>
      <c r="N48">
        <f t="shared" si="2"/>
        <v>3157</v>
      </c>
      <c r="Q48">
        <v>176</v>
      </c>
      <c r="R48">
        <f t="shared" si="3"/>
        <v>1988.375</v>
      </c>
    </row>
    <row r="49" spans="1:18" x14ac:dyDescent="0.25">
      <c r="A49" t="s">
        <v>144</v>
      </c>
      <c r="B49">
        <v>8973</v>
      </c>
      <c r="C49">
        <v>7207</v>
      </c>
      <c r="D49">
        <v>6337</v>
      </c>
      <c r="E49">
        <v>8371</v>
      </c>
      <c r="F49">
        <v>8367</v>
      </c>
      <c r="G49">
        <v>7048</v>
      </c>
      <c r="H49">
        <v>6918</v>
      </c>
      <c r="I49">
        <v>8464</v>
      </c>
      <c r="K49">
        <f>(AVERAGE(B49:I49))</f>
        <v>7710.625</v>
      </c>
      <c r="M49">
        <f t="shared" si="1"/>
        <v>7722</v>
      </c>
      <c r="N49">
        <f t="shared" si="2"/>
        <v>7699.25</v>
      </c>
      <c r="Q49">
        <v>202</v>
      </c>
      <c r="R49">
        <f t="shared" si="3"/>
        <v>7508.625</v>
      </c>
    </row>
    <row r="50" spans="1:18" x14ac:dyDescent="0.25">
      <c r="A50" t="s">
        <v>132</v>
      </c>
      <c r="B50">
        <v>3342</v>
      </c>
      <c r="C50">
        <v>3400</v>
      </c>
      <c r="D50">
        <v>3816</v>
      </c>
      <c r="E50">
        <v>4763</v>
      </c>
      <c r="F50">
        <v>4127</v>
      </c>
      <c r="G50">
        <v>4575</v>
      </c>
      <c r="H50">
        <v>4572</v>
      </c>
      <c r="I50">
        <v>6239</v>
      </c>
      <c r="K50">
        <f t="shared" si="0"/>
        <v>4354.25</v>
      </c>
      <c r="M50">
        <f t="shared" si="1"/>
        <v>3830.25</v>
      </c>
      <c r="N50">
        <f t="shared" si="2"/>
        <v>4878.25</v>
      </c>
      <c r="Q50">
        <v>148</v>
      </c>
      <c r="R50">
        <f t="shared" si="3"/>
        <v>4206.25</v>
      </c>
    </row>
    <row r="51" spans="1:18" x14ac:dyDescent="0.25">
      <c r="A51" t="s">
        <v>146</v>
      </c>
      <c r="B51">
        <v>4723</v>
      </c>
      <c r="C51">
        <v>2548</v>
      </c>
      <c r="D51">
        <v>3631</v>
      </c>
      <c r="E51">
        <v>2598</v>
      </c>
      <c r="F51">
        <v>3260</v>
      </c>
      <c r="G51">
        <v>3526</v>
      </c>
      <c r="H51">
        <v>2456</v>
      </c>
      <c r="I51">
        <v>2772</v>
      </c>
      <c r="K51">
        <f t="shared" si="0"/>
        <v>3189.25</v>
      </c>
      <c r="M51">
        <f t="shared" si="1"/>
        <v>3375</v>
      </c>
      <c r="N51">
        <f t="shared" si="2"/>
        <v>3003.5</v>
      </c>
      <c r="Q51">
        <v>230</v>
      </c>
      <c r="R51">
        <f t="shared" si="3"/>
        <v>2959.25</v>
      </c>
    </row>
    <row r="52" spans="1:18" x14ac:dyDescent="0.25">
      <c r="A52" t="s">
        <v>147</v>
      </c>
      <c r="B52">
        <v>3215</v>
      </c>
      <c r="C52">
        <v>2574</v>
      </c>
      <c r="D52">
        <v>3532</v>
      </c>
      <c r="E52">
        <v>3527</v>
      </c>
      <c r="F52">
        <v>2232</v>
      </c>
      <c r="G52">
        <v>2607</v>
      </c>
      <c r="H52">
        <v>3146</v>
      </c>
      <c r="I52">
        <v>3935</v>
      </c>
      <c r="K52">
        <f t="shared" si="0"/>
        <v>3096</v>
      </c>
      <c r="M52">
        <f t="shared" si="1"/>
        <v>3212</v>
      </c>
      <c r="N52">
        <f t="shared" si="2"/>
        <v>2980</v>
      </c>
      <c r="Q52">
        <v>251</v>
      </c>
      <c r="R52">
        <f t="shared" si="3"/>
        <v>2845</v>
      </c>
    </row>
    <row r="53" spans="1:18" x14ac:dyDescent="0.25">
      <c r="A53" t="s">
        <v>155</v>
      </c>
      <c r="B53">
        <v>2824</v>
      </c>
      <c r="C53">
        <v>2250</v>
      </c>
      <c r="D53">
        <v>798</v>
      </c>
      <c r="E53" s="7"/>
      <c r="F53">
        <v>2044</v>
      </c>
      <c r="G53">
        <v>2225</v>
      </c>
      <c r="H53">
        <v>1471</v>
      </c>
      <c r="I53">
        <v>2024</v>
      </c>
      <c r="K53">
        <f t="shared" si="0"/>
        <v>1948</v>
      </c>
      <c r="M53">
        <f t="shared" si="1"/>
        <v>1957.3333333333333</v>
      </c>
      <c r="N53">
        <f t="shared" si="2"/>
        <v>1941</v>
      </c>
      <c r="Q53">
        <v>180</v>
      </c>
      <c r="R53">
        <f t="shared" si="3"/>
        <v>1768</v>
      </c>
    </row>
    <row r="54" spans="1:18" x14ac:dyDescent="0.25">
      <c r="A54" t="s">
        <v>158</v>
      </c>
      <c r="B54">
        <v>1181</v>
      </c>
      <c r="C54">
        <v>1870</v>
      </c>
      <c r="D54">
        <v>1954</v>
      </c>
      <c r="E54">
        <v>1032</v>
      </c>
      <c r="F54">
        <v>1314</v>
      </c>
      <c r="G54">
        <v>1391</v>
      </c>
      <c r="H54">
        <v>1065</v>
      </c>
      <c r="I54">
        <v>1028</v>
      </c>
      <c r="K54">
        <f t="shared" si="0"/>
        <v>1354.375</v>
      </c>
      <c r="M54">
        <f t="shared" si="1"/>
        <v>1509.25</v>
      </c>
      <c r="N54">
        <f t="shared" si="2"/>
        <v>1199.5</v>
      </c>
      <c r="Q54">
        <v>224</v>
      </c>
      <c r="R54">
        <f t="shared" si="3"/>
        <v>1130.375</v>
      </c>
    </row>
    <row r="55" spans="1:18" x14ac:dyDescent="0.25">
      <c r="A55" t="s">
        <v>162</v>
      </c>
      <c r="B55">
        <v>3242</v>
      </c>
      <c r="C55">
        <v>2643</v>
      </c>
      <c r="D55">
        <v>3339</v>
      </c>
      <c r="E55">
        <v>2506</v>
      </c>
      <c r="F55">
        <v>3500</v>
      </c>
      <c r="G55">
        <v>3239</v>
      </c>
      <c r="H55">
        <v>4662</v>
      </c>
      <c r="I55">
        <v>2837</v>
      </c>
      <c r="K55">
        <f t="shared" si="0"/>
        <v>3246</v>
      </c>
      <c r="M55">
        <f t="shared" si="1"/>
        <v>2932.5</v>
      </c>
      <c r="N55">
        <f t="shared" si="2"/>
        <v>3559.5</v>
      </c>
      <c r="Q55">
        <v>176</v>
      </c>
      <c r="R55">
        <f t="shared" si="3"/>
        <v>3070</v>
      </c>
    </row>
    <row r="56" spans="1:18" x14ac:dyDescent="0.25">
      <c r="A56" t="s">
        <v>160</v>
      </c>
      <c r="B56">
        <v>3484</v>
      </c>
      <c r="C56">
        <v>3630</v>
      </c>
      <c r="D56">
        <v>5674</v>
      </c>
      <c r="E56">
        <v>3236</v>
      </c>
      <c r="F56">
        <v>3295</v>
      </c>
      <c r="G56">
        <v>2841</v>
      </c>
      <c r="H56">
        <v>3322</v>
      </c>
      <c r="I56">
        <v>4750</v>
      </c>
      <c r="K56">
        <f t="shared" ref="K56:K61" si="6">(AVERAGE(B56:I56))</f>
        <v>3779</v>
      </c>
      <c r="M56">
        <f t="shared" ref="M56:M61" si="7">AVERAGE(B56:E56)</f>
        <v>4006</v>
      </c>
      <c r="N56">
        <f t="shared" ref="N56:N61" si="8">AVERAGE(F56:I56)</f>
        <v>3552</v>
      </c>
      <c r="Q56">
        <v>214</v>
      </c>
      <c r="R56">
        <f t="shared" ref="R56:R61" si="9">K56-Q56</f>
        <v>3565</v>
      </c>
    </row>
    <row r="57" spans="1:18" x14ac:dyDescent="0.25">
      <c r="A57" t="s">
        <v>173</v>
      </c>
      <c r="B57">
        <v>854</v>
      </c>
      <c r="C57">
        <v>872</v>
      </c>
      <c r="D57">
        <v>1597</v>
      </c>
      <c r="E57">
        <v>1482</v>
      </c>
      <c r="F57">
        <v>1156</v>
      </c>
      <c r="G57">
        <v>1238</v>
      </c>
      <c r="H57">
        <v>1272</v>
      </c>
      <c r="I57">
        <v>1941</v>
      </c>
      <c r="K57">
        <f t="shared" si="6"/>
        <v>1301.5</v>
      </c>
      <c r="M57">
        <f t="shared" si="7"/>
        <v>1201.25</v>
      </c>
      <c r="N57">
        <f t="shared" si="8"/>
        <v>1401.75</v>
      </c>
      <c r="Q57">
        <v>167</v>
      </c>
      <c r="R57">
        <f t="shared" si="9"/>
        <v>1134.5</v>
      </c>
    </row>
    <row r="58" spans="1:18" x14ac:dyDescent="0.25">
      <c r="A58" t="s">
        <v>174</v>
      </c>
      <c r="B58">
        <v>1921</v>
      </c>
      <c r="C58">
        <v>2865</v>
      </c>
      <c r="D58">
        <v>2190</v>
      </c>
      <c r="E58">
        <v>2151</v>
      </c>
      <c r="F58">
        <v>2109</v>
      </c>
      <c r="G58">
        <v>1802</v>
      </c>
      <c r="H58">
        <v>1620</v>
      </c>
      <c r="I58">
        <v>1959</v>
      </c>
      <c r="K58">
        <f t="shared" si="6"/>
        <v>2077.125</v>
      </c>
      <c r="M58">
        <f t="shared" si="7"/>
        <v>2281.75</v>
      </c>
      <c r="N58">
        <f t="shared" si="8"/>
        <v>1872.5</v>
      </c>
      <c r="Q58">
        <v>168</v>
      </c>
      <c r="R58">
        <f t="shared" si="9"/>
        <v>1909.125</v>
      </c>
    </row>
    <row r="59" spans="1:18" x14ac:dyDescent="0.25">
      <c r="A59" t="s">
        <v>175</v>
      </c>
      <c r="B59">
        <v>3323</v>
      </c>
      <c r="C59">
        <v>258</v>
      </c>
      <c r="D59">
        <v>496</v>
      </c>
      <c r="E59">
        <v>365</v>
      </c>
      <c r="F59">
        <v>2421</v>
      </c>
      <c r="G59">
        <v>2655</v>
      </c>
      <c r="H59">
        <v>3407</v>
      </c>
      <c r="I59">
        <v>3410</v>
      </c>
      <c r="K59">
        <f t="shared" si="6"/>
        <v>2041.875</v>
      </c>
      <c r="M59">
        <f t="shared" si="7"/>
        <v>1110.5</v>
      </c>
      <c r="N59">
        <f t="shared" si="8"/>
        <v>2973.25</v>
      </c>
      <c r="Q59">
        <v>141</v>
      </c>
      <c r="R59">
        <f t="shared" si="9"/>
        <v>1900.875</v>
      </c>
    </row>
    <row r="60" spans="1:18" x14ac:dyDescent="0.25">
      <c r="A60" t="s">
        <v>187</v>
      </c>
      <c r="B60">
        <v>2660</v>
      </c>
      <c r="C60">
        <v>2999</v>
      </c>
      <c r="D60">
        <v>3140</v>
      </c>
      <c r="E60">
        <v>1990</v>
      </c>
      <c r="F60">
        <v>2380</v>
      </c>
      <c r="G60">
        <v>1948</v>
      </c>
      <c r="H60">
        <v>2521</v>
      </c>
      <c r="I60">
        <v>2339</v>
      </c>
      <c r="K60">
        <f t="shared" si="6"/>
        <v>2497.125</v>
      </c>
      <c r="M60">
        <f t="shared" si="7"/>
        <v>2697.25</v>
      </c>
      <c r="N60">
        <f t="shared" si="8"/>
        <v>2297</v>
      </c>
      <c r="Q60">
        <v>163</v>
      </c>
      <c r="R60">
        <f t="shared" si="9"/>
        <v>2334.125</v>
      </c>
    </row>
    <row r="61" spans="1:18" x14ac:dyDescent="0.25">
      <c r="A61" t="s">
        <v>186</v>
      </c>
      <c r="B61">
        <v>3838</v>
      </c>
      <c r="C61">
        <v>2295</v>
      </c>
      <c r="D61">
        <v>3439</v>
      </c>
      <c r="E61">
        <v>2657</v>
      </c>
      <c r="F61">
        <v>3783</v>
      </c>
      <c r="G61">
        <v>3624</v>
      </c>
      <c r="H61">
        <v>3002</v>
      </c>
      <c r="I61">
        <v>3596</v>
      </c>
      <c r="K61">
        <f t="shared" si="6"/>
        <v>3279.25</v>
      </c>
      <c r="M61">
        <f t="shared" si="7"/>
        <v>3057.25</v>
      </c>
      <c r="N61">
        <f t="shared" si="8"/>
        <v>3501.25</v>
      </c>
      <c r="Q61">
        <v>166</v>
      </c>
      <c r="R61">
        <f t="shared" si="9"/>
        <v>3113.25</v>
      </c>
    </row>
    <row r="63" spans="1:18" x14ac:dyDescent="0.25">
      <c r="J63" s="25"/>
      <c r="K63" s="37"/>
      <c r="L63" s="37"/>
      <c r="M63" s="37"/>
      <c r="N63" s="37"/>
      <c r="O63" s="37"/>
      <c r="P63" s="37"/>
      <c r="Q63" s="37"/>
      <c r="R63" s="37"/>
    </row>
    <row r="65" spans="10:18" x14ac:dyDescent="0.25">
      <c r="J65" s="25"/>
      <c r="K65" s="12"/>
      <c r="L65" s="12"/>
      <c r="M65" s="12"/>
      <c r="N65" s="12"/>
      <c r="O65" s="12"/>
      <c r="P65" s="12"/>
      <c r="Q65" s="12"/>
      <c r="R65" s="12"/>
    </row>
    <row r="66" spans="10:18" x14ac:dyDescent="0.25">
      <c r="J66" s="25"/>
      <c r="K66" s="12"/>
      <c r="L66" s="12"/>
      <c r="M66" s="12"/>
      <c r="N66" s="12"/>
      <c r="O66" s="12"/>
      <c r="P66" s="12"/>
      <c r="Q66" s="12"/>
      <c r="R66" s="12"/>
    </row>
    <row r="67" spans="10:18" x14ac:dyDescent="0.25">
      <c r="K67" s="12"/>
      <c r="L67" s="12"/>
      <c r="M67" s="12"/>
      <c r="N67" s="12"/>
      <c r="O67" s="12"/>
      <c r="P67" s="12"/>
      <c r="Q67" s="12"/>
      <c r="R67" s="12"/>
    </row>
    <row r="68" spans="10:18" x14ac:dyDescent="0.25">
      <c r="J68" s="25"/>
      <c r="K68" s="12"/>
      <c r="L68" s="12"/>
      <c r="M68" s="12"/>
      <c r="N68" s="12"/>
      <c r="O68" s="12"/>
      <c r="P68" s="12"/>
      <c r="Q68" s="12"/>
      <c r="R68" s="12"/>
    </row>
    <row r="69" spans="10:18" x14ac:dyDescent="0.25">
      <c r="J69" s="25"/>
      <c r="K69" s="12"/>
      <c r="L69" s="12"/>
      <c r="M69" s="12"/>
      <c r="N69" s="12"/>
      <c r="O69" s="12"/>
      <c r="P69" s="12"/>
      <c r="Q69" s="12"/>
      <c r="R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Y69"/>
  <sheetViews>
    <sheetView zoomScale="55" zoomScaleNormal="55" workbookViewId="0">
      <selection activeCell="S40" sqref="S40"/>
    </sheetView>
  </sheetViews>
  <sheetFormatPr defaultRowHeight="15" x14ac:dyDescent="0.25"/>
  <cols>
    <col min="17" max="19" width="9.140625" style="20"/>
    <col min="20" max="20" width="9" style="20" customWidth="1"/>
    <col min="21" max="22" width="9.140625" style="21"/>
    <col min="23" max="25" width="9.140625" style="20"/>
  </cols>
  <sheetData>
    <row r="1" spans="1:21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U1" s="29"/>
    </row>
    <row r="2" spans="1:21" x14ac:dyDescent="0.25">
      <c r="A2" s="4" t="s">
        <v>3</v>
      </c>
      <c r="B2">
        <v>896</v>
      </c>
      <c r="C2">
        <v>760</v>
      </c>
      <c r="D2">
        <v>1615</v>
      </c>
      <c r="E2">
        <v>1432</v>
      </c>
      <c r="F2">
        <v>606</v>
      </c>
      <c r="G2">
        <v>985</v>
      </c>
      <c r="H2">
        <v>801</v>
      </c>
      <c r="I2">
        <v>1092</v>
      </c>
      <c r="K2">
        <f>(AVERAGE(B2:I2))</f>
        <v>1023.375</v>
      </c>
      <c r="M2">
        <f>AVERAGE(B2:E2)</f>
        <v>1175.75</v>
      </c>
      <c r="N2">
        <f>AVERAGE(F2:I2)</f>
        <v>871</v>
      </c>
      <c r="R2" s="5"/>
      <c r="S2" t="s">
        <v>247</v>
      </c>
    </row>
    <row r="3" spans="1:21" x14ac:dyDescent="0.25">
      <c r="A3" s="4" t="s">
        <v>13</v>
      </c>
      <c r="B3" s="4">
        <v>1299</v>
      </c>
      <c r="C3" s="4">
        <v>848</v>
      </c>
      <c r="D3" s="4">
        <v>578</v>
      </c>
      <c r="E3" s="4">
        <v>331</v>
      </c>
      <c r="F3" s="4">
        <v>520</v>
      </c>
      <c r="G3" s="4">
        <v>649</v>
      </c>
      <c r="H3" s="4">
        <v>884</v>
      </c>
      <c r="I3" s="4">
        <v>799</v>
      </c>
      <c r="K3">
        <f>(AVERAGE(B3:I3))</f>
        <v>738.5</v>
      </c>
      <c r="M3">
        <f t="shared" ref="M3:M55" si="0">AVERAGE(B3:E3)</f>
        <v>764</v>
      </c>
      <c r="N3">
        <f>AVERAGE(G3:I3)</f>
        <v>777.33333333333337</v>
      </c>
    </row>
    <row r="4" spans="1:21" x14ac:dyDescent="0.25">
      <c r="A4" s="4" t="s">
        <v>68</v>
      </c>
      <c r="B4" s="4">
        <v>748</v>
      </c>
      <c r="C4" s="5"/>
      <c r="D4" s="5"/>
      <c r="E4" s="5"/>
      <c r="F4" s="4">
        <v>842</v>
      </c>
      <c r="G4" s="5"/>
      <c r="H4" s="4">
        <v>759</v>
      </c>
      <c r="I4" s="4">
        <v>537</v>
      </c>
      <c r="K4">
        <f t="shared" ref="K4:K56" si="1">(AVERAGE(B4:I4))</f>
        <v>721.5</v>
      </c>
      <c r="M4">
        <f t="shared" si="0"/>
        <v>748</v>
      </c>
      <c r="N4">
        <f t="shared" ref="N4:N56" si="2">AVERAGE(F4:I4)</f>
        <v>712.66666666666663</v>
      </c>
    </row>
    <row r="5" spans="1:21" x14ac:dyDescent="0.25">
      <c r="A5" s="4" t="s">
        <v>69</v>
      </c>
      <c r="B5" s="4">
        <v>1031</v>
      </c>
      <c r="C5" s="4">
        <v>1374</v>
      </c>
      <c r="D5" s="4">
        <v>1840</v>
      </c>
      <c r="E5" s="4">
        <v>968</v>
      </c>
      <c r="F5" s="5"/>
      <c r="G5" s="5"/>
      <c r="H5" s="5"/>
      <c r="I5" s="5"/>
      <c r="K5">
        <f t="shared" si="1"/>
        <v>1303.25</v>
      </c>
      <c r="M5">
        <f t="shared" si="0"/>
        <v>1303.25</v>
      </c>
      <c r="N5" s="5"/>
    </row>
    <row r="6" spans="1:21" x14ac:dyDescent="0.25">
      <c r="A6" t="s">
        <v>70</v>
      </c>
      <c r="B6">
        <v>610</v>
      </c>
      <c r="C6">
        <v>632</v>
      </c>
      <c r="D6">
        <v>437</v>
      </c>
      <c r="E6">
        <v>359</v>
      </c>
      <c r="F6">
        <v>457</v>
      </c>
      <c r="G6">
        <v>675</v>
      </c>
      <c r="H6">
        <v>650</v>
      </c>
      <c r="I6">
        <v>326</v>
      </c>
      <c r="K6">
        <f>(AVERAGE(B6:G6))</f>
        <v>528.33333333333337</v>
      </c>
      <c r="M6">
        <f t="shared" si="0"/>
        <v>509.5</v>
      </c>
      <c r="N6">
        <f>AVERAGE(F6:G6)</f>
        <v>566</v>
      </c>
    </row>
    <row r="7" spans="1:21" x14ac:dyDescent="0.25">
      <c r="A7" s="4" t="s">
        <v>74</v>
      </c>
      <c r="B7" s="5"/>
      <c r="C7" s="4">
        <v>858</v>
      </c>
      <c r="D7" s="4">
        <v>612</v>
      </c>
      <c r="E7" s="5"/>
      <c r="F7" s="4">
        <v>582</v>
      </c>
      <c r="G7" s="4">
        <v>681</v>
      </c>
      <c r="H7" s="4">
        <v>814</v>
      </c>
      <c r="I7" s="4">
        <v>686</v>
      </c>
      <c r="K7">
        <f>(AVERAGE(C7:I7))</f>
        <v>705.5</v>
      </c>
      <c r="M7">
        <f>AVERAGE(C7:E7)</f>
        <v>735</v>
      </c>
      <c r="N7">
        <f>AVERAGE(F7:I7)</f>
        <v>690.75</v>
      </c>
    </row>
    <row r="8" spans="1:21" x14ac:dyDescent="0.25">
      <c r="A8" t="s">
        <v>79</v>
      </c>
      <c r="B8">
        <v>529</v>
      </c>
      <c r="C8" s="4">
        <v>882</v>
      </c>
      <c r="D8" s="4">
        <v>829</v>
      </c>
      <c r="E8" s="4">
        <v>947</v>
      </c>
      <c r="F8" s="4">
        <v>811</v>
      </c>
      <c r="G8" s="4">
        <v>678</v>
      </c>
      <c r="H8" s="4">
        <v>742</v>
      </c>
      <c r="I8" s="4">
        <v>470</v>
      </c>
      <c r="K8">
        <f t="shared" si="1"/>
        <v>736</v>
      </c>
      <c r="M8">
        <f t="shared" si="0"/>
        <v>796.75</v>
      </c>
      <c r="N8">
        <f t="shared" si="2"/>
        <v>675.25</v>
      </c>
    </row>
    <row r="9" spans="1:21" x14ac:dyDescent="0.25">
      <c r="A9" s="4" t="s">
        <v>80</v>
      </c>
      <c r="B9" s="4">
        <v>1822</v>
      </c>
      <c r="C9" s="4">
        <v>1898</v>
      </c>
      <c r="D9" s="4">
        <v>2288</v>
      </c>
      <c r="E9" s="4">
        <v>1418</v>
      </c>
      <c r="F9" s="5"/>
      <c r="G9" s="5"/>
      <c r="H9" s="4">
        <v>1047</v>
      </c>
      <c r="I9" s="4">
        <v>1700</v>
      </c>
      <c r="K9">
        <f t="shared" si="1"/>
        <v>1695.5</v>
      </c>
      <c r="M9">
        <f t="shared" si="0"/>
        <v>1856.5</v>
      </c>
      <c r="N9">
        <f t="shared" si="2"/>
        <v>1373.5</v>
      </c>
    </row>
    <row r="10" spans="1:21" x14ac:dyDescent="0.25">
      <c r="A10" s="4" t="s">
        <v>86</v>
      </c>
      <c r="B10" s="4">
        <v>321</v>
      </c>
      <c r="C10" s="4">
        <v>401</v>
      </c>
      <c r="D10" s="4">
        <v>484</v>
      </c>
      <c r="E10" s="4">
        <v>544</v>
      </c>
      <c r="F10" s="4">
        <v>650</v>
      </c>
      <c r="G10" s="4">
        <v>324</v>
      </c>
      <c r="H10" s="5"/>
      <c r="I10" s="4">
        <v>369</v>
      </c>
      <c r="K10">
        <f t="shared" si="1"/>
        <v>441.85714285714283</v>
      </c>
      <c r="M10">
        <f t="shared" si="0"/>
        <v>437.5</v>
      </c>
      <c r="N10">
        <f t="shared" si="2"/>
        <v>447.66666666666669</v>
      </c>
    </row>
    <row r="11" spans="1:21" x14ac:dyDescent="0.25">
      <c r="A11" s="4" t="s">
        <v>92</v>
      </c>
      <c r="B11" s="5"/>
      <c r="C11" s="4">
        <v>659</v>
      </c>
      <c r="D11" s="5"/>
      <c r="E11" s="4">
        <v>263</v>
      </c>
      <c r="F11" s="5"/>
      <c r="G11" s="5"/>
      <c r="H11" s="5"/>
      <c r="I11" s="5"/>
      <c r="K11">
        <f t="shared" si="1"/>
        <v>461</v>
      </c>
      <c r="M11">
        <f t="shared" si="0"/>
        <v>461</v>
      </c>
      <c r="N11" s="5"/>
    </row>
    <row r="12" spans="1:21" x14ac:dyDescent="0.25">
      <c r="A12" t="s">
        <v>93</v>
      </c>
      <c r="B12">
        <v>293</v>
      </c>
      <c r="C12">
        <v>293</v>
      </c>
      <c r="D12">
        <v>318</v>
      </c>
      <c r="E12">
        <v>771</v>
      </c>
      <c r="F12" s="5"/>
      <c r="G12" s="5"/>
      <c r="H12" s="5"/>
      <c r="I12" s="5"/>
      <c r="K12">
        <f t="shared" si="1"/>
        <v>418.75</v>
      </c>
      <c r="M12">
        <f t="shared" si="0"/>
        <v>418.75</v>
      </c>
      <c r="N12" s="5"/>
    </row>
    <row r="13" spans="1:21" x14ac:dyDescent="0.25">
      <c r="A13" t="s">
        <v>110</v>
      </c>
      <c r="B13">
        <v>1656</v>
      </c>
      <c r="C13">
        <v>1585</v>
      </c>
      <c r="D13">
        <v>1278</v>
      </c>
      <c r="E13">
        <v>2024</v>
      </c>
      <c r="F13">
        <v>988</v>
      </c>
      <c r="G13">
        <v>1554</v>
      </c>
      <c r="H13">
        <v>444</v>
      </c>
      <c r="I13">
        <v>1303</v>
      </c>
      <c r="K13">
        <f t="shared" si="1"/>
        <v>1354</v>
      </c>
      <c r="M13">
        <f t="shared" si="0"/>
        <v>1635.75</v>
      </c>
      <c r="N13">
        <f t="shared" si="2"/>
        <v>1072.25</v>
      </c>
    </row>
    <row r="14" spans="1:21" x14ac:dyDescent="0.25">
      <c r="A14" t="s">
        <v>120</v>
      </c>
      <c r="B14">
        <v>482</v>
      </c>
      <c r="C14" s="5"/>
      <c r="D14">
        <v>710</v>
      </c>
      <c r="E14" s="5"/>
      <c r="F14">
        <v>780</v>
      </c>
      <c r="G14" s="4">
        <v>1320</v>
      </c>
      <c r="H14" s="4">
        <v>1494</v>
      </c>
      <c r="I14" s="4">
        <v>1211</v>
      </c>
      <c r="K14">
        <f>(AVERAGE(C14:I14))</f>
        <v>1103</v>
      </c>
      <c r="M14">
        <f>AVERAGE(C14:E14)</f>
        <v>710</v>
      </c>
      <c r="N14">
        <f t="shared" si="2"/>
        <v>1201.25</v>
      </c>
    </row>
    <row r="15" spans="1:21" x14ac:dyDescent="0.25">
      <c r="A15" t="s">
        <v>125</v>
      </c>
      <c r="B15">
        <v>240</v>
      </c>
      <c r="C15">
        <v>111</v>
      </c>
      <c r="D15">
        <v>271</v>
      </c>
      <c r="E15">
        <v>104</v>
      </c>
      <c r="F15" s="5"/>
      <c r="G15">
        <v>131</v>
      </c>
      <c r="H15">
        <v>166</v>
      </c>
      <c r="I15">
        <v>166</v>
      </c>
      <c r="K15">
        <f>(AVERAGE(C15:I15))</f>
        <v>158.16666666666666</v>
      </c>
      <c r="M15">
        <f>AVERAGE(C15:E15)</f>
        <v>162</v>
      </c>
      <c r="N15">
        <f t="shared" si="2"/>
        <v>154.33333333333334</v>
      </c>
    </row>
    <row r="16" spans="1:21" x14ac:dyDescent="0.25">
      <c r="A16" t="s">
        <v>130</v>
      </c>
      <c r="B16" s="5"/>
      <c r="C16" s="5"/>
      <c r="D16" s="5"/>
      <c r="E16" s="5"/>
      <c r="F16">
        <v>1016</v>
      </c>
      <c r="G16">
        <v>1416</v>
      </c>
      <c r="H16">
        <v>547</v>
      </c>
      <c r="I16">
        <v>1283</v>
      </c>
      <c r="K16">
        <f t="shared" si="1"/>
        <v>1065.5</v>
      </c>
      <c r="M16" s="5"/>
      <c r="N16">
        <f t="shared" si="2"/>
        <v>1065.5</v>
      </c>
    </row>
    <row r="17" spans="1:25" x14ac:dyDescent="0.25">
      <c r="A17" t="s">
        <v>145</v>
      </c>
      <c r="B17">
        <v>1226</v>
      </c>
      <c r="C17">
        <v>1227</v>
      </c>
      <c r="D17">
        <v>959</v>
      </c>
      <c r="E17" s="5"/>
      <c r="F17" s="5"/>
      <c r="G17">
        <v>496</v>
      </c>
      <c r="H17">
        <v>958</v>
      </c>
      <c r="I17">
        <v>830</v>
      </c>
      <c r="K17">
        <f t="shared" si="1"/>
        <v>949.33333333333337</v>
      </c>
      <c r="M17">
        <f t="shared" si="0"/>
        <v>1137.3333333333333</v>
      </c>
      <c r="N17">
        <f t="shared" si="2"/>
        <v>761.33333333333337</v>
      </c>
    </row>
    <row r="18" spans="1:25" x14ac:dyDescent="0.25">
      <c r="A18" t="s">
        <v>144</v>
      </c>
      <c r="B18">
        <v>788</v>
      </c>
      <c r="C18">
        <v>680</v>
      </c>
      <c r="D18">
        <v>389</v>
      </c>
      <c r="E18">
        <v>730</v>
      </c>
      <c r="F18">
        <v>729</v>
      </c>
      <c r="G18">
        <v>753</v>
      </c>
      <c r="H18" s="5"/>
      <c r="I18">
        <v>498</v>
      </c>
      <c r="K18">
        <f t="shared" si="1"/>
        <v>652.42857142857144</v>
      </c>
      <c r="M18">
        <f t="shared" si="0"/>
        <v>646.75</v>
      </c>
      <c r="N18">
        <f t="shared" si="2"/>
        <v>660</v>
      </c>
    </row>
    <row r="19" spans="1:25" x14ac:dyDescent="0.25">
      <c r="A19" t="s">
        <v>132</v>
      </c>
      <c r="B19">
        <v>596</v>
      </c>
      <c r="C19">
        <v>415</v>
      </c>
      <c r="D19">
        <v>985</v>
      </c>
      <c r="E19">
        <v>359</v>
      </c>
      <c r="F19">
        <v>854</v>
      </c>
      <c r="G19">
        <v>508</v>
      </c>
      <c r="H19">
        <v>520</v>
      </c>
      <c r="I19">
        <v>642</v>
      </c>
      <c r="K19">
        <f t="shared" si="1"/>
        <v>609.875</v>
      </c>
      <c r="M19">
        <f t="shared" si="0"/>
        <v>588.75</v>
      </c>
      <c r="N19">
        <f t="shared" si="2"/>
        <v>631</v>
      </c>
    </row>
    <row r="20" spans="1:25" x14ac:dyDescent="0.25">
      <c r="A20" t="s">
        <v>146</v>
      </c>
      <c r="B20">
        <v>1248</v>
      </c>
      <c r="C20">
        <v>1275</v>
      </c>
      <c r="D20">
        <v>1499</v>
      </c>
      <c r="E20">
        <v>775</v>
      </c>
      <c r="F20">
        <v>1437</v>
      </c>
      <c r="G20">
        <v>1219</v>
      </c>
      <c r="H20">
        <v>1710</v>
      </c>
      <c r="I20">
        <v>1283</v>
      </c>
      <c r="K20">
        <f t="shared" si="1"/>
        <v>1305.75</v>
      </c>
      <c r="M20">
        <f t="shared" si="0"/>
        <v>1199.25</v>
      </c>
      <c r="N20">
        <f t="shared" si="2"/>
        <v>1412.25</v>
      </c>
    </row>
    <row r="21" spans="1:25" x14ac:dyDescent="0.25">
      <c r="A21" t="s">
        <v>147</v>
      </c>
      <c r="B21">
        <v>492</v>
      </c>
      <c r="C21">
        <v>689</v>
      </c>
      <c r="D21">
        <v>351</v>
      </c>
      <c r="E21">
        <v>225</v>
      </c>
      <c r="F21">
        <v>390</v>
      </c>
      <c r="G21">
        <v>543</v>
      </c>
      <c r="H21">
        <v>630</v>
      </c>
      <c r="I21">
        <v>268</v>
      </c>
      <c r="K21">
        <f t="shared" si="1"/>
        <v>448.5</v>
      </c>
      <c r="M21">
        <f t="shared" si="0"/>
        <v>439.25</v>
      </c>
      <c r="N21">
        <f t="shared" si="2"/>
        <v>457.75</v>
      </c>
    </row>
    <row r="22" spans="1:25" x14ac:dyDescent="0.25">
      <c r="A22" t="s">
        <v>155</v>
      </c>
      <c r="B22">
        <v>306</v>
      </c>
      <c r="C22">
        <v>233</v>
      </c>
      <c r="D22">
        <v>1285</v>
      </c>
      <c r="E22">
        <v>800</v>
      </c>
      <c r="F22">
        <v>443</v>
      </c>
      <c r="G22">
        <v>820</v>
      </c>
      <c r="H22">
        <v>1039</v>
      </c>
      <c r="I22" s="5"/>
      <c r="K22">
        <f t="shared" si="1"/>
        <v>703.71428571428567</v>
      </c>
      <c r="M22">
        <f t="shared" si="0"/>
        <v>656</v>
      </c>
      <c r="N22">
        <f t="shared" si="2"/>
        <v>767.33333333333337</v>
      </c>
    </row>
    <row r="23" spans="1:25" x14ac:dyDescent="0.25">
      <c r="A23" t="s">
        <v>158</v>
      </c>
      <c r="B23">
        <v>547</v>
      </c>
      <c r="C23">
        <v>395</v>
      </c>
      <c r="D23">
        <v>613</v>
      </c>
      <c r="E23">
        <v>1099</v>
      </c>
      <c r="F23" s="5"/>
      <c r="G23">
        <v>906</v>
      </c>
      <c r="H23">
        <v>1317</v>
      </c>
      <c r="I23">
        <v>991</v>
      </c>
      <c r="K23">
        <f t="shared" si="1"/>
        <v>838.28571428571433</v>
      </c>
      <c r="M23">
        <f t="shared" si="0"/>
        <v>663.5</v>
      </c>
      <c r="N23">
        <f t="shared" si="2"/>
        <v>1071.3333333333333</v>
      </c>
    </row>
    <row r="24" spans="1:25" x14ac:dyDescent="0.25">
      <c r="A24" t="s">
        <v>162</v>
      </c>
      <c r="B24">
        <v>181</v>
      </c>
      <c r="C24">
        <v>305</v>
      </c>
      <c r="D24" s="5"/>
      <c r="E24" s="5"/>
      <c r="F24">
        <v>313</v>
      </c>
      <c r="G24">
        <v>375</v>
      </c>
      <c r="H24">
        <v>376</v>
      </c>
      <c r="I24">
        <v>345</v>
      </c>
      <c r="K24">
        <f t="shared" si="1"/>
        <v>315.83333333333331</v>
      </c>
      <c r="M24">
        <f t="shared" si="0"/>
        <v>243</v>
      </c>
      <c r="N24">
        <f t="shared" si="2"/>
        <v>352.25</v>
      </c>
    </row>
    <row r="25" spans="1:25" x14ac:dyDescent="0.25">
      <c r="A25" t="s">
        <v>160</v>
      </c>
      <c r="B25">
        <v>1619</v>
      </c>
      <c r="C25">
        <v>1054</v>
      </c>
      <c r="D25">
        <v>1189</v>
      </c>
      <c r="E25">
        <v>1170</v>
      </c>
      <c r="F25" s="5"/>
      <c r="G25">
        <v>949</v>
      </c>
      <c r="H25">
        <v>1370</v>
      </c>
      <c r="I25">
        <v>1778</v>
      </c>
      <c r="K25">
        <f t="shared" si="1"/>
        <v>1304.1428571428571</v>
      </c>
      <c r="M25">
        <f t="shared" si="0"/>
        <v>1258</v>
      </c>
      <c r="N25">
        <f t="shared" si="2"/>
        <v>1365.6666666666667</v>
      </c>
    </row>
    <row r="26" spans="1:25" x14ac:dyDescent="0.25">
      <c r="A26" t="s">
        <v>173</v>
      </c>
      <c r="B26">
        <v>198</v>
      </c>
      <c r="C26">
        <v>281</v>
      </c>
      <c r="D26">
        <v>332</v>
      </c>
      <c r="E26">
        <v>688</v>
      </c>
      <c r="F26" s="5"/>
      <c r="G26">
        <v>518</v>
      </c>
      <c r="H26" s="5"/>
      <c r="I26" s="5"/>
      <c r="K26">
        <f t="shared" si="1"/>
        <v>403.4</v>
      </c>
      <c r="M26">
        <f t="shared" si="0"/>
        <v>374.75</v>
      </c>
      <c r="N26">
        <f t="shared" si="2"/>
        <v>518</v>
      </c>
    </row>
    <row r="27" spans="1:25" x14ac:dyDescent="0.25">
      <c r="A27" t="s">
        <v>174</v>
      </c>
      <c r="B27">
        <v>481</v>
      </c>
      <c r="C27">
        <v>890</v>
      </c>
      <c r="D27">
        <v>669</v>
      </c>
      <c r="E27" s="5"/>
      <c r="F27">
        <v>547</v>
      </c>
      <c r="G27">
        <v>960</v>
      </c>
      <c r="H27" s="5"/>
      <c r="I27" s="5"/>
      <c r="K27">
        <f t="shared" si="1"/>
        <v>709.4</v>
      </c>
      <c r="M27">
        <f t="shared" si="0"/>
        <v>680</v>
      </c>
      <c r="N27">
        <f t="shared" si="2"/>
        <v>753.5</v>
      </c>
    </row>
    <row r="28" spans="1:25" x14ac:dyDescent="0.25">
      <c r="A28" t="s">
        <v>175</v>
      </c>
      <c r="B28">
        <v>231</v>
      </c>
      <c r="C28">
        <v>252</v>
      </c>
      <c r="D28">
        <v>262</v>
      </c>
      <c r="E28">
        <v>289</v>
      </c>
      <c r="F28">
        <v>408</v>
      </c>
      <c r="G28">
        <v>306</v>
      </c>
      <c r="H28">
        <v>793</v>
      </c>
      <c r="I28">
        <v>553</v>
      </c>
      <c r="K28">
        <f t="shared" si="1"/>
        <v>386.75</v>
      </c>
      <c r="M28">
        <f t="shared" si="0"/>
        <v>258.5</v>
      </c>
      <c r="N28">
        <f t="shared" si="2"/>
        <v>515</v>
      </c>
    </row>
    <row r="29" spans="1:25" x14ac:dyDescent="0.25">
      <c r="A29" t="s">
        <v>187</v>
      </c>
      <c r="B29">
        <v>401</v>
      </c>
      <c r="C29">
        <v>445</v>
      </c>
      <c r="D29">
        <v>663</v>
      </c>
      <c r="E29">
        <v>609</v>
      </c>
      <c r="F29">
        <v>338</v>
      </c>
      <c r="G29">
        <v>220</v>
      </c>
      <c r="H29" s="4">
        <v>689</v>
      </c>
      <c r="I29" s="4">
        <v>596</v>
      </c>
      <c r="K29">
        <f t="shared" si="1"/>
        <v>495.125</v>
      </c>
      <c r="M29">
        <f t="shared" si="0"/>
        <v>529.5</v>
      </c>
      <c r="N29">
        <f t="shared" si="2"/>
        <v>460.75</v>
      </c>
    </row>
    <row r="30" spans="1:25" x14ac:dyDescent="0.25">
      <c r="A30" t="s">
        <v>186</v>
      </c>
      <c r="B30">
        <v>483</v>
      </c>
      <c r="C30">
        <v>496</v>
      </c>
      <c r="D30">
        <v>681</v>
      </c>
      <c r="E30">
        <v>1177</v>
      </c>
      <c r="F30">
        <v>415</v>
      </c>
      <c r="G30">
        <v>352</v>
      </c>
      <c r="H30" s="5"/>
      <c r="I30">
        <v>678</v>
      </c>
      <c r="K30">
        <f t="shared" si="1"/>
        <v>611.71428571428567</v>
      </c>
      <c r="M30">
        <f t="shared" si="0"/>
        <v>709.25</v>
      </c>
      <c r="N30">
        <f t="shared" si="2"/>
        <v>481.66666666666669</v>
      </c>
    </row>
    <row r="31" spans="1:25" x14ac:dyDescent="0.25">
      <c r="H31" s="4"/>
    </row>
    <row r="32" spans="1:25" s="25" customFormat="1" x14ac:dyDescent="0.25">
      <c r="A32" s="25" t="s">
        <v>1</v>
      </c>
      <c r="Q32" s="32"/>
      <c r="R32" s="32"/>
      <c r="S32" s="32"/>
      <c r="T32" s="32"/>
      <c r="U32" s="33"/>
      <c r="V32" s="33"/>
      <c r="W32" s="32"/>
      <c r="X32" s="32"/>
      <c r="Y32" s="32"/>
    </row>
    <row r="33" spans="1:14" x14ac:dyDescent="0.25">
      <c r="A33" s="4" t="s">
        <v>3</v>
      </c>
      <c r="B33" s="4">
        <v>1231</v>
      </c>
      <c r="C33" s="4">
        <v>992</v>
      </c>
      <c r="D33" s="4">
        <v>1040</v>
      </c>
      <c r="E33" s="4">
        <v>1042</v>
      </c>
      <c r="F33" s="4">
        <v>2773</v>
      </c>
      <c r="G33" s="4">
        <v>980</v>
      </c>
      <c r="H33" s="4">
        <v>1125</v>
      </c>
      <c r="I33" s="4">
        <v>557</v>
      </c>
      <c r="K33">
        <f t="shared" si="1"/>
        <v>1217.5</v>
      </c>
      <c r="M33">
        <f t="shared" si="0"/>
        <v>1076.25</v>
      </c>
      <c r="N33">
        <f t="shared" si="2"/>
        <v>1358.75</v>
      </c>
    </row>
    <row r="34" spans="1:14" x14ac:dyDescent="0.25">
      <c r="A34" s="4" t="s">
        <v>13</v>
      </c>
      <c r="B34" s="4">
        <v>782</v>
      </c>
      <c r="C34" s="5"/>
      <c r="D34" s="4">
        <v>1274</v>
      </c>
      <c r="E34" s="5"/>
      <c r="F34" s="4">
        <v>908</v>
      </c>
      <c r="G34" s="4">
        <v>397</v>
      </c>
      <c r="H34" s="4">
        <v>584</v>
      </c>
      <c r="I34" s="4">
        <v>684</v>
      </c>
      <c r="K34">
        <f t="shared" si="1"/>
        <v>771.5</v>
      </c>
      <c r="M34">
        <f t="shared" si="0"/>
        <v>1028</v>
      </c>
      <c r="N34">
        <f t="shared" si="2"/>
        <v>643.25</v>
      </c>
    </row>
    <row r="35" spans="1:14" x14ac:dyDescent="0.25">
      <c r="A35" s="4" t="s">
        <v>68</v>
      </c>
      <c r="B35" s="5"/>
      <c r="C35" s="4">
        <v>411</v>
      </c>
      <c r="D35" s="5"/>
      <c r="E35" s="5"/>
      <c r="F35" s="5"/>
      <c r="G35" s="5"/>
      <c r="H35" s="5"/>
      <c r="I35" s="5"/>
      <c r="K35">
        <f t="shared" si="1"/>
        <v>411</v>
      </c>
      <c r="M35">
        <f t="shared" si="0"/>
        <v>411</v>
      </c>
      <c r="N35" s="5"/>
    </row>
    <row r="36" spans="1:14" x14ac:dyDescent="0.25">
      <c r="A36" s="4" t="s">
        <v>69</v>
      </c>
      <c r="B36" s="5"/>
      <c r="C36" s="5"/>
      <c r="D36" s="5"/>
      <c r="E36" s="5"/>
      <c r="F36" s="4">
        <v>2121</v>
      </c>
      <c r="G36" s="4">
        <v>1171</v>
      </c>
      <c r="H36" s="4">
        <v>1255</v>
      </c>
      <c r="I36" s="4">
        <v>1375</v>
      </c>
      <c r="K36">
        <f t="shared" si="1"/>
        <v>1480.5</v>
      </c>
      <c r="M36" s="5"/>
      <c r="N36">
        <f t="shared" si="2"/>
        <v>1480.5</v>
      </c>
    </row>
    <row r="37" spans="1:14" x14ac:dyDescent="0.25">
      <c r="A37" t="s">
        <v>70</v>
      </c>
      <c r="B37">
        <v>659</v>
      </c>
      <c r="C37">
        <v>238</v>
      </c>
      <c r="D37">
        <v>327</v>
      </c>
      <c r="E37" s="5"/>
      <c r="F37" s="4">
        <v>279</v>
      </c>
      <c r="G37" s="4">
        <v>399</v>
      </c>
      <c r="H37" s="4">
        <v>168</v>
      </c>
      <c r="I37" s="4">
        <v>391</v>
      </c>
      <c r="K37">
        <f t="shared" si="1"/>
        <v>351.57142857142856</v>
      </c>
      <c r="M37">
        <f t="shared" si="0"/>
        <v>408</v>
      </c>
      <c r="N37">
        <f t="shared" si="2"/>
        <v>309.25</v>
      </c>
    </row>
    <row r="38" spans="1:14" x14ac:dyDescent="0.25">
      <c r="A38" s="4" t="s">
        <v>74</v>
      </c>
      <c r="B38" s="4">
        <v>840</v>
      </c>
      <c r="C38" s="5"/>
      <c r="D38" s="4">
        <v>747</v>
      </c>
      <c r="E38" s="4">
        <v>338</v>
      </c>
      <c r="F38" s="5"/>
      <c r="G38" s="4">
        <v>838</v>
      </c>
      <c r="H38" s="4">
        <v>729</v>
      </c>
      <c r="I38" s="4">
        <v>916</v>
      </c>
      <c r="K38">
        <f t="shared" si="1"/>
        <v>734.66666666666663</v>
      </c>
      <c r="M38">
        <f t="shared" si="0"/>
        <v>641.66666666666663</v>
      </c>
      <c r="N38">
        <f t="shared" si="2"/>
        <v>827.66666666666663</v>
      </c>
    </row>
    <row r="39" spans="1:14" x14ac:dyDescent="0.25">
      <c r="A39" t="s">
        <v>79</v>
      </c>
      <c r="B39" s="4">
        <v>1381</v>
      </c>
      <c r="C39">
        <v>459</v>
      </c>
      <c r="D39" s="4">
        <v>1109</v>
      </c>
      <c r="E39" s="4">
        <v>763</v>
      </c>
      <c r="F39" s="4">
        <v>495</v>
      </c>
      <c r="G39" s="4">
        <v>1061</v>
      </c>
      <c r="H39" s="4">
        <v>1293</v>
      </c>
      <c r="I39" s="5"/>
      <c r="K39">
        <f t="shared" si="1"/>
        <v>937.28571428571433</v>
      </c>
      <c r="M39">
        <f t="shared" si="0"/>
        <v>928</v>
      </c>
      <c r="N39">
        <f t="shared" si="2"/>
        <v>949.66666666666663</v>
      </c>
    </row>
    <row r="40" spans="1:14" x14ac:dyDescent="0.25">
      <c r="A40" s="4" t="s">
        <v>80</v>
      </c>
      <c r="B40" s="5"/>
      <c r="C40" s="5"/>
      <c r="D40" s="5"/>
      <c r="E40" s="5"/>
      <c r="F40" s="4">
        <v>807</v>
      </c>
      <c r="G40" s="5"/>
      <c r="H40" s="4">
        <v>646</v>
      </c>
      <c r="I40" s="5"/>
      <c r="K40">
        <f t="shared" si="1"/>
        <v>726.5</v>
      </c>
      <c r="M40" s="5"/>
      <c r="N40">
        <f t="shared" si="2"/>
        <v>726.5</v>
      </c>
    </row>
    <row r="41" spans="1:14" x14ac:dyDescent="0.25">
      <c r="A41" s="4" t="s">
        <v>86</v>
      </c>
      <c r="B41" s="4">
        <v>166</v>
      </c>
      <c r="C41" s="4">
        <v>232</v>
      </c>
      <c r="D41" s="5"/>
      <c r="E41" s="4">
        <v>347</v>
      </c>
      <c r="F41" s="5"/>
      <c r="G41" s="5"/>
      <c r="H41" s="5"/>
      <c r="I41" s="5"/>
      <c r="K41">
        <f t="shared" si="1"/>
        <v>248.33333333333334</v>
      </c>
      <c r="M41">
        <f t="shared" si="0"/>
        <v>248.33333333333334</v>
      </c>
      <c r="N41" s="5"/>
    </row>
    <row r="42" spans="1:14" x14ac:dyDescent="0.25">
      <c r="A42" s="4" t="s">
        <v>92</v>
      </c>
      <c r="B42" s="4">
        <v>512</v>
      </c>
      <c r="C42" s="5"/>
      <c r="D42" s="5"/>
      <c r="E42" s="4">
        <v>426</v>
      </c>
      <c r="F42" s="4">
        <v>353</v>
      </c>
      <c r="G42" s="5"/>
      <c r="H42" s="5"/>
      <c r="I42" s="4">
        <v>1342</v>
      </c>
      <c r="K42">
        <f t="shared" si="1"/>
        <v>658.25</v>
      </c>
      <c r="M42">
        <f t="shared" si="0"/>
        <v>469</v>
      </c>
      <c r="N42">
        <f t="shared" si="2"/>
        <v>847.5</v>
      </c>
    </row>
    <row r="43" spans="1:14" x14ac:dyDescent="0.25">
      <c r="A43" t="s">
        <v>93</v>
      </c>
      <c r="B43">
        <v>233</v>
      </c>
      <c r="C43">
        <v>371</v>
      </c>
      <c r="D43">
        <v>478</v>
      </c>
      <c r="E43">
        <v>394</v>
      </c>
      <c r="F43" s="5"/>
      <c r="G43" s="5"/>
      <c r="H43" s="5"/>
      <c r="I43" s="5"/>
      <c r="K43">
        <f t="shared" si="1"/>
        <v>369</v>
      </c>
      <c r="M43">
        <f t="shared" si="0"/>
        <v>369</v>
      </c>
      <c r="N43" s="5"/>
    </row>
    <row r="44" spans="1:14" x14ac:dyDescent="0.25">
      <c r="A44" t="s">
        <v>110</v>
      </c>
      <c r="B44">
        <v>1863</v>
      </c>
      <c r="C44">
        <v>1300</v>
      </c>
      <c r="D44">
        <v>1677</v>
      </c>
      <c r="E44">
        <v>1224</v>
      </c>
      <c r="F44">
        <v>1537</v>
      </c>
      <c r="G44">
        <v>1010</v>
      </c>
      <c r="H44">
        <v>1772</v>
      </c>
      <c r="I44">
        <v>1105</v>
      </c>
      <c r="K44">
        <f t="shared" si="1"/>
        <v>1436</v>
      </c>
      <c r="M44">
        <f t="shared" si="0"/>
        <v>1516</v>
      </c>
      <c r="N44">
        <f t="shared" si="2"/>
        <v>1356</v>
      </c>
    </row>
    <row r="45" spans="1:14" x14ac:dyDescent="0.25">
      <c r="A45" t="s">
        <v>120</v>
      </c>
      <c r="B45">
        <v>607</v>
      </c>
      <c r="C45">
        <v>514</v>
      </c>
      <c r="D45">
        <v>479</v>
      </c>
      <c r="E45" s="5"/>
      <c r="F45">
        <v>1078</v>
      </c>
      <c r="G45">
        <v>724</v>
      </c>
      <c r="H45">
        <v>534</v>
      </c>
      <c r="I45">
        <v>735</v>
      </c>
      <c r="K45">
        <f t="shared" si="1"/>
        <v>667.28571428571433</v>
      </c>
      <c r="M45">
        <f t="shared" si="0"/>
        <v>533.33333333333337</v>
      </c>
      <c r="N45">
        <f t="shared" si="2"/>
        <v>767.75</v>
      </c>
    </row>
    <row r="46" spans="1:14" x14ac:dyDescent="0.25">
      <c r="A46" t="s">
        <v>125</v>
      </c>
      <c r="B46">
        <v>202</v>
      </c>
      <c r="C46" s="5"/>
      <c r="D46" s="5"/>
      <c r="E46" s="5"/>
      <c r="F46">
        <v>184</v>
      </c>
      <c r="G46">
        <v>223</v>
      </c>
      <c r="H46">
        <v>191</v>
      </c>
      <c r="I46">
        <v>212</v>
      </c>
      <c r="K46">
        <f>(AVERAGE(C46:I46))</f>
        <v>202.5</v>
      </c>
      <c r="M46">
        <v>202</v>
      </c>
      <c r="N46">
        <f t="shared" si="2"/>
        <v>202.5</v>
      </c>
    </row>
    <row r="47" spans="1:14" x14ac:dyDescent="0.25">
      <c r="A47" t="s">
        <v>130</v>
      </c>
      <c r="B47" s="5"/>
      <c r="C47" s="5"/>
      <c r="D47" s="5"/>
      <c r="E47" s="5"/>
      <c r="F47" s="5"/>
      <c r="G47">
        <v>751</v>
      </c>
      <c r="H47">
        <v>1394</v>
      </c>
      <c r="I47">
        <v>1269</v>
      </c>
      <c r="K47">
        <f t="shared" si="1"/>
        <v>1138</v>
      </c>
      <c r="M47" s="5"/>
      <c r="N47">
        <f t="shared" si="2"/>
        <v>1138</v>
      </c>
    </row>
    <row r="48" spans="1:14" x14ac:dyDescent="0.25">
      <c r="A48" t="s">
        <v>145</v>
      </c>
      <c r="B48">
        <v>1225</v>
      </c>
      <c r="C48">
        <v>280</v>
      </c>
      <c r="D48">
        <v>340</v>
      </c>
      <c r="E48">
        <v>1317</v>
      </c>
      <c r="F48">
        <v>843</v>
      </c>
      <c r="G48">
        <v>965</v>
      </c>
      <c r="H48">
        <v>959</v>
      </c>
      <c r="I48">
        <v>691</v>
      </c>
      <c r="K48">
        <f t="shared" si="1"/>
        <v>827.5</v>
      </c>
      <c r="M48">
        <f t="shared" si="0"/>
        <v>790.5</v>
      </c>
      <c r="N48">
        <f t="shared" si="2"/>
        <v>864.5</v>
      </c>
    </row>
    <row r="49" spans="1:15" x14ac:dyDescent="0.25">
      <c r="A49" t="s">
        <v>144</v>
      </c>
      <c r="B49">
        <v>757</v>
      </c>
      <c r="C49" s="5"/>
      <c r="D49" s="5"/>
      <c r="E49">
        <v>797</v>
      </c>
      <c r="F49">
        <v>362</v>
      </c>
      <c r="G49">
        <v>711</v>
      </c>
      <c r="H49">
        <v>760</v>
      </c>
      <c r="I49" s="5"/>
      <c r="K49">
        <f t="shared" si="1"/>
        <v>677.4</v>
      </c>
      <c r="M49">
        <f t="shared" si="0"/>
        <v>777</v>
      </c>
      <c r="N49">
        <f t="shared" si="2"/>
        <v>611</v>
      </c>
    </row>
    <row r="50" spans="1:15" x14ac:dyDescent="0.25">
      <c r="A50" t="s">
        <v>132</v>
      </c>
      <c r="B50">
        <v>794</v>
      </c>
      <c r="C50">
        <v>970</v>
      </c>
      <c r="D50">
        <v>1153</v>
      </c>
      <c r="E50">
        <v>2044</v>
      </c>
      <c r="F50">
        <v>674</v>
      </c>
      <c r="G50">
        <v>1022</v>
      </c>
      <c r="H50" s="5"/>
      <c r="I50" s="5"/>
      <c r="K50">
        <f t="shared" si="1"/>
        <v>1109.5</v>
      </c>
      <c r="M50">
        <f t="shared" si="0"/>
        <v>1240.25</v>
      </c>
      <c r="N50">
        <f t="shared" si="2"/>
        <v>848</v>
      </c>
    </row>
    <row r="51" spans="1:15" x14ac:dyDescent="0.25">
      <c r="A51" t="s">
        <v>146</v>
      </c>
      <c r="B51">
        <v>1244</v>
      </c>
      <c r="C51">
        <v>1040</v>
      </c>
      <c r="D51">
        <v>1437</v>
      </c>
      <c r="E51">
        <v>869</v>
      </c>
      <c r="F51">
        <v>683</v>
      </c>
      <c r="G51">
        <v>986</v>
      </c>
      <c r="H51">
        <v>1829</v>
      </c>
      <c r="I51">
        <v>865</v>
      </c>
      <c r="K51">
        <f t="shared" si="1"/>
        <v>1119.125</v>
      </c>
      <c r="M51">
        <f t="shared" si="0"/>
        <v>1147.5</v>
      </c>
      <c r="N51">
        <f t="shared" si="2"/>
        <v>1090.75</v>
      </c>
    </row>
    <row r="52" spans="1:15" x14ac:dyDescent="0.25">
      <c r="A52" t="s">
        <v>147</v>
      </c>
      <c r="B52">
        <v>516</v>
      </c>
      <c r="C52">
        <v>553</v>
      </c>
      <c r="D52">
        <v>649</v>
      </c>
      <c r="E52">
        <v>372</v>
      </c>
      <c r="F52">
        <v>423</v>
      </c>
      <c r="G52">
        <v>553</v>
      </c>
      <c r="H52" s="5"/>
      <c r="I52" s="5"/>
      <c r="K52">
        <f t="shared" si="1"/>
        <v>511</v>
      </c>
      <c r="M52">
        <f t="shared" si="0"/>
        <v>522.5</v>
      </c>
      <c r="N52">
        <f t="shared" si="2"/>
        <v>488</v>
      </c>
    </row>
    <row r="53" spans="1:15" x14ac:dyDescent="0.25">
      <c r="A53" t="s">
        <v>155</v>
      </c>
      <c r="B53">
        <v>743</v>
      </c>
      <c r="C53" s="5"/>
      <c r="D53">
        <v>701</v>
      </c>
      <c r="E53" s="5"/>
      <c r="F53">
        <v>750</v>
      </c>
      <c r="G53" s="4">
        <v>1348</v>
      </c>
      <c r="H53" s="5"/>
      <c r="I53">
        <v>1242</v>
      </c>
      <c r="K53">
        <f t="shared" si="1"/>
        <v>956.8</v>
      </c>
      <c r="M53">
        <f t="shared" si="0"/>
        <v>722</v>
      </c>
      <c r="N53">
        <f t="shared" si="2"/>
        <v>1113.3333333333333</v>
      </c>
    </row>
    <row r="54" spans="1:15" x14ac:dyDescent="0.25">
      <c r="A54" t="s">
        <v>158</v>
      </c>
      <c r="B54">
        <v>670</v>
      </c>
      <c r="C54">
        <v>705</v>
      </c>
      <c r="D54">
        <v>450</v>
      </c>
      <c r="E54">
        <v>496</v>
      </c>
      <c r="F54">
        <v>867</v>
      </c>
      <c r="G54" s="5"/>
      <c r="H54">
        <v>844</v>
      </c>
      <c r="I54">
        <v>594</v>
      </c>
      <c r="K54">
        <f t="shared" si="1"/>
        <v>660.85714285714289</v>
      </c>
      <c r="M54">
        <f t="shared" si="0"/>
        <v>580.25</v>
      </c>
      <c r="N54">
        <f t="shared" si="2"/>
        <v>768.33333333333337</v>
      </c>
    </row>
    <row r="55" spans="1:15" x14ac:dyDescent="0.25">
      <c r="A55" t="s">
        <v>162</v>
      </c>
      <c r="B55">
        <v>258</v>
      </c>
      <c r="C55">
        <v>139</v>
      </c>
      <c r="D55">
        <v>190</v>
      </c>
      <c r="E55">
        <v>472</v>
      </c>
      <c r="F55">
        <v>209</v>
      </c>
      <c r="G55" s="4">
        <v>315</v>
      </c>
      <c r="H55" s="4">
        <v>372</v>
      </c>
      <c r="I55" s="4">
        <v>211</v>
      </c>
      <c r="K55">
        <f t="shared" si="1"/>
        <v>270.75</v>
      </c>
      <c r="M55">
        <f t="shared" si="0"/>
        <v>264.75</v>
      </c>
      <c r="N55">
        <f t="shared" si="2"/>
        <v>276.75</v>
      </c>
    </row>
    <row r="56" spans="1:15" x14ac:dyDescent="0.25">
      <c r="A56" t="s">
        <v>160</v>
      </c>
      <c r="B56">
        <v>1014</v>
      </c>
      <c r="C56">
        <v>782</v>
      </c>
      <c r="D56">
        <v>1375</v>
      </c>
      <c r="E56">
        <v>2304</v>
      </c>
      <c r="F56" s="5"/>
      <c r="G56" s="4">
        <v>1626</v>
      </c>
      <c r="H56">
        <v>1889</v>
      </c>
      <c r="I56" s="5"/>
      <c r="K56">
        <f t="shared" si="1"/>
        <v>1498.3333333333333</v>
      </c>
      <c r="M56">
        <f t="shared" ref="M56:M61" si="3">AVERAGE(B56:E56)</f>
        <v>1368.75</v>
      </c>
      <c r="N56">
        <f t="shared" si="2"/>
        <v>1757.5</v>
      </c>
    </row>
    <row r="57" spans="1:15" x14ac:dyDescent="0.25">
      <c r="A57" t="s">
        <v>173</v>
      </c>
      <c r="B57">
        <v>141</v>
      </c>
      <c r="C57">
        <v>322</v>
      </c>
      <c r="D57">
        <v>261</v>
      </c>
      <c r="E57">
        <v>166</v>
      </c>
      <c r="F57">
        <v>196</v>
      </c>
      <c r="G57">
        <v>348</v>
      </c>
      <c r="H57">
        <v>522</v>
      </c>
      <c r="I57" s="5"/>
      <c r="K57">
        <f t="shared" ref="K57:K61" si="4">(AVERAGE(B57:I57))</f>
        <v>279.42857142857144</v>
      </c>
      <c r="M57">
        <f t="shared" si="3"/>
        <v>222.5</v>
      </c>
      <c r="N57">
        <f t="shared" ref="N57:N61" si="5">AVERAGE(F57:I57)</f>
        <v>355.33333333333331</v>
      </c>
    </row>
    <row r="58" spans="1:15" x14ac:dyDescent="0.25">
      <c r="A58" t="s">
        <v>174</v>
      </c>
      <c r="B58">
        <v>740</v>
      </c>
      <c r="C58">
        <v>803</v>
      </c>
      <c r="D58">
        <v>671</v>
      </c>
      <c r="E58">
        <v>1702</v>
      </c>
      <c r="F58" s="5"/>
      <c r="G58" s="5"/>
      <c r="H58" s="5"/>
      <c r="I58" s="5"/>
      <c r="K58">
        <f t="shared" si="4"/>
        <v>979</v>
      </c>
      <c r="M58">
        <f t="shared" si="3"/>
        <v>979</v>
      </c>
      <c r="N58" s="5"/>
      <c r="O58" s="5" t="s">
        <v>248</v>
      </c>
    </row>
    <row r="59" spans="1:15" x14ac:dyDescent="0.25">
      <c r="A59" t="s">
        <v>175</v>
      </c>
      <c r="B59">
        <v>663</v>
      </c>
      <c r="C59">
        <v>249</v>
      </c>
      <c r="D59">
        <v>337</v>
      </c>
      <c r="E59">
        <v>574</v>
      </c>
      <c r="F59">
        <v>612</v>
      </c>
      <c r="G59">
        <v>189</v>
      </c>
      <c r="H59">
        <v>194</v>
      </c>
      <c r="I59">
        <v>334</v>
      </c>
      <c r="K59">
        <f t="shared" si="4"/>
        <v>394</v>
      </c>
      <c r="M59">
        <f t="shared" si="3"/>
        <v>455.75</v>
      </c>
      <c r="N59">
        <f t="shared" si="5"/>
        <v>332.25</v>
      </c>
    </row>
    <row r="60" spans="1:15" x14ac:dyDescent="0.25">
      <c r="A60" t="s">
        <v>187</v>
      </c>
      <c r="B60" s="5"/>
      <c r="C60" s="5"/>
      <c r="D60" s="5"/>
      <c r="E60">
        <v>424</v>
      </c>
      <c r="F60" s="4">
        <v>323</v>
      </c>
      <c r="G60">
        <v>548</v>
      </c>
      <c r="H60">
        <v>525</v>
      </c>
      <c r="I60">
        <v>395</v>
      </c>
      <c r="K60">
        <f t="shared" si="4"/>
        <v>443</v>
      </c>
      <c r="M60">
        <f t="shared" si="3"/>
        <v>424</v>
      </c>
      <c r="N60">
        <f t="shared" si="5"/>
        <v>447.75</v>
      </c>
    </row>
    <row r="61" spans="1:15" x14ac:dyDescent="0.25">
      <c r="A61" t="s">
        <v>186</v>
      </c>
      <c r="B61" s="5"/>
      <c r="C61" s="5"/>
      <c r="D61">
        <v>700</v>
      </c>
      <c r="E61" s="5"/>
      <c r="F61" s="4">
        <v>492</v>
      </c>
      <c r="G61" s="5"/>
      <c r="H61">
        <v>518</v>
      </c>
      <c r="I61" s="4">
        <v>600</v>
      </c>
      <c r="K61">
        <f t="shared" si="4"/>
        <v>577.5</v>
      </c>
      <c r="M61">
        <f t="shared" si="3"/>
        <v>700</v>
      </c>
      <c r="N61">
        <f t="shared" si="5"/>
        <v>536.66666666666663</v>
      </c>
    </row>
    <row r="63" spans="1:15" x14ac:dyDescent="0.25">
      <c r="J63" s="25"/>
      <c r="K63" s="37"/>
      <c r="L63" s="37"/>
      <c r="M63" s="37"/>
      <c r="N63" s="37"/>
    </row>
    <row r="65" spans="10:14" x14ac:dyDescent="0.25">
      <c r="J65" s="25"/>
      <c r="K65" s="25"/>
      <c r="L65" s="25"/>
      <c r="M65" s="25"/>
      <c r="N65" s="25"/>
    </row>
    <row r="66" spans="10:14" x14ac:dyDescent="0.25">
      <c r="J66" s="25"/>
      <c r="K66" s="25"/>
      <c r="L66" s="25"/>
      <c r="M66" s="25"/>
      <c r="N66" s="25"/>
    </row>
    <row r="67" spans="10:14" x14ac:dyDescent="0.25">
      <c r="K67" s="25"/>
      <c r="L67" s="25"/>
      <c r="M67" s="25"/>
      <c r="N67" s="25"/>
    </row>
    <row r="68" spans="10:14" x14ac:dyDescent="0.25">
      <c r="J68" s="25"/>
      <c r="K68" s="25"/>
      <c r="L68" s="25"/>
      <c r="M68" s="25"/>
      <c r="N68" s="25"/>
    </row>
    <row r="69" spans="10:14" x14ac:dyDescent="0.25">
      <c r="J69" s="25"/>
      <c r="K69" s="25"/>
      <c r="L69" s="25"/>
      <c r="M69" s="25"/>
      <c r="N69" s="25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6"/>
  <sheetViews>
    <sheetView zoomScale="55" zoomScaleNormal="55" workbookViewId="0">
      <selection activeCell="J42" sqref="J42"/>
    </sheetView>
  </sheetViews>
  <sheetFormatPr defaultRowHeight="15" x14ac:dyDescent="0.25"/>
  <cols>
    <col min="7" max="7" width="9" customWidth="1"/>
  </cols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>
        <v>78.3</v>
      </c>
      <c r="C2">
        <v>77</v>
      </c>
      <c r="E2" s="3">
        <f>C2-B2</f>
        <v>-1.2999999999999972</v>
      </c>
    </row>
    <row r="3" spans="1:5" x14ac:dyDescent="0.25">
      <c r="A3" t="s">
        <v>13</v>
      </c>
      <c r="B3">
        <v>76.099999999999994</v>
      </c>
      <c r="C3">
        <v>77</v>
      </c>
      <c r="E3" s="3">
        <f t="shared" ref="E3:E61" si="0">C3-B3</f>
        <v>0.90000000000000568</v>
      </c>
    </row>
    <row r="4" spans="1:5" x14ac:dyDescent="0.25">
      <c r="A4" t="s">
        <v>68</v>
      </c>
      <c r="B4">
        <v>71.5</v>
      </c>
      <c r="C4">
        <v>74.5</v>
      </c>
      <c r="E4" s="3">
        <f t="shared" si="0"/>
        <v>3</v>
      </c>
    </row>
    <row r="5" spans="1:5" x14ac:dyDescent="0.25">
      <c r="A5" t="s">
        <v>69</v>
      </c>
      <c r="B5">
        <f>(85.5+86.6+86.5)/3</f>
        <v>86.2</v>
      </c>
      <c r="C5">
        <f>(84+85+86)/3</f>
        <v>85</v>
      </c>
      <c r="E5" s="3">
        <f t="shared" si="0"/>
        <v>-1.2000000000000028</v>
      </c>
    </row>
    <row r="6" spans="1:5" x14ac:dyDescent="0.25">
      <c r="A6" t="s">
        <v>70</v>
      </c>
      <c r="B6" s="3">
        <f>(73.9+75.6+78.5+77)/4</f>
        <v>76.25</v>
      </c>
      <c r="C6" s="3">
        <f>(76.2+75.9)/2</f>
        <v>76.050000000000011</v>
      </c>
      <c r="E6" s="3">
        <f t="shared" si="0"/>
        <v>-0.19999999999998863</v>
      </c>
    </row>
    <row r="7" spans="1:5" x14ac:dyDescent="0.25">
      <c r="A7" t="s">
        <v>74</v>
      </c>
      <c r="B7">
        <v>83.9</v>
      </c>
      <c r="C7" s="3">
        <f>(78.6+79.9+79.9)/3</f>
        <v>79.466666666666669</v>
      </c>
      <c r="E7" s="3">
        <f t="shared" si="0"/>
        <v>-4.4333333333333371</v>
      </c>
    </row>
    <row r="8" spans="1:5" x14ac:dyDescent="0.25">
      <c r="A8" t="s">
        <v>79</v>
      </c>
      <c r="B8" s="3">
        <f>(75.3+77+76.5)/3</f>
        <v>76.266666666666666</v>
      </c>
      <c r="C8">
        <v>74.099999999999994</v>
      </c>
      <c r="E8" s="3">
        <f t="shared" si="0"/>
        <v>-2.1666666666666714</v>
      </c>
    </row>
    <row r="9" spans="1:5" x14ac:dyDescent="0.25">
      <c r="A9" t="s">
        <v>80</v>
      </c>
      <c r="B9">
        <f>(75.8+76.7+76.7)/3</f>
        <v>76.399999999999991</v>
      </c>
      <c r="C9">
        <f>(75.1+75.6+74.6)/3</f>
        <v>75.099999999999994</v>
      </c>
      <c r="E9" s="3">
        <f t="shared" si="0"/>
        <v>-1.2999999999999972</v>
      </c>
    </row>
    <row r="10" spans="1:5" x14ac:dyDescent="0.25">
      <c r="A10" t="s">
        <v>86</v>
      </c>
      <c r="B10" s="3">
        <f>(75.1+74.3+73.9)/3</f>
        <v>74.433333333333323</v>
      </c>
      <c r="C10">
        <v>72.599999999999994</v>
      </c>
      <c r="E10" s="3">
        <f t="shared" si="0"/>
        <v>-1.8333333333333286</v>
      </c>
    </row>
    <row r="11" spans="1:5" x14ac:dyDescent="0.25">
      <c r="A11" t="s">
        <v>92</v>
      </c>
      <c r="B11">
        <f>(70.5+69.9+69.6)/3</f>
        <v>70</v>
      </c>
      <c r="C11" s="3">
        <f>(72.1+73.6+72.9)/3</f>
        <v>72.86666666666666</v>
      </c>
      <c r="E11" s="3">
        <f t="shared" si="0"/>
        <v>2.86666666666666</v>
      </c>
    </row>
    <row r="12" spans="1:5" x14ac:dyDescent="0.25">
      <c r="A12" t="s">
        <v>93</v>
      </c>
      <c r="B12" s="3">
        <f>(86.5+88+88.2)/3</f>
        <v>87.566666666666663</v>
      </c>
      <c r="C12" s="3">
        <f>(88.9+90+90)/3</f>
        <v>89.633333333333326</v>
      </c>
      <c r="E12" s="3">
        <f t="shared" si="0"/>
        <v>2.0666666666666629</v>
      </c>
    </row>
    <row r="13" spans="1:5" x14ac:dyDescent="0.25">
      <c r="A13" t="s">
        <v>110</v>
      </c>
      <c r="B13" s="3">
        <f>(82.8+84.1+84.1)/3</f>
        <v>83.666666666666657</v>
      </c>
      <c r="C13">
        <v>83.1</v>
      </c>
      <c r="E13" s="3">
        <f t="shared" si="0"/>
        <v>-0.56666666666666288</v>
      </c>
    </row>
    <row r="14" spans="1:5" x14ac:dyDescent="0.25">
      <c r="A14" t="s">
        <v>120</v>
      </c>
      <c r="B14">
        <f>(69.3+72+72.6)/3</f>
        <v>71.3</v>
      </c>
      <c r="C14" s="3">
        <f>(71+69.5+70.8)/3</f>
        <v>70.433333333333337</v>
      </c>
      <c r="E14" s="3">
        <f t="shared" si="0"/>
        <v>-0.86666666666666003</v>
      </c>
    </row>
    <row r="15" spans="1:5" x14ac:dyDescent="0.25">
      <c r="A15" t="s">
        <v>125</v>
      </c>
      <c r="B15">
        <v>63.2</v>
      </c>
      <c r="C15">
        <f>(64.6+67.9+68.8)/3</f>
        <v>67.100000000000009</v>
      </c>
      <c r="E15" s="3">
        <f t="shared" si="0"/>
        <v>3.9000000000000057</v>
      </c>
    </row>
    <row r="16" spans="1:5" x14ac:dyDescent="0.25">
      <c r="A16" t="s">
        <v>130</v>
      </c>
      <c r="B16" s="3">
        <f>(66+67+66)/3</f>
        <v>66.333333333333329</v>
      </c>
      <c r="C16">
        <f>(71.5+72.7+73)/3</f>
        <v>72.399999999999991</v>
      </c>
      <c r="E16" s="3">
        <f t="shared" si="0"/>
        <v>6.0666666666666629</v>
      </c>
    </row>
    <row r="17" spans="1:5" x14ac:dyDescent="0.25">
      <c r="A17" t="s">
        <v>145</v>
      </c>
      <c r="B17" s="3">
        <f>(68.5+67.5+68.1)/3</f>
        <v>68.033333333333331</v>
      </c>
      <c r="C17" s="3">
        <f>(67.4+67.9+67.9)/3</f>
        <v>67.733333333333334</v>
      </c>
      <c r="E17" s="3">
        <f t="shared" si="0"/>
        <v>-0.29999999999999716</v>
      </c>
    </row>
    <row r="18" spans="1:5" x14ac:dyDescent="0.25">
      <c r="A18" t="s">
        <v>144</v>
      </c>
      <c r="B18">
        <v>76</v>
      </c>
      <c r="C18" s="3">
        <f>(76.4+77+76.5)/3</f>
        <v>76.63333333333334</v>
      </c>
      <c r="E18" s="3">
        <f t="shared" si="0"/>
        <v>0.63333333333333997</v>
      </c>
    </row>
    <row r="19" spans="1:5" x14ac:dyDescent="0.25">
      <c r="A19" t="s">
        <v>132</v>
      </c>
      <c r="B19" s="3">
        <f>(77+77+76.5)/3</f>
        <v>76.833333333333329</v>
      </c>
      <c r="C19" s="3">
        <f>(77+76.2+76.8)/3</f>
        <v>76.666666666666671</v>
      </c>
      <c r="E19" s="3">
        <f t="shared" si="0"/>
        <v>-0.16666666666665719</v>
      </c>
    </row>
    <row r="20" spans="1:5" x14ac:dyDescent="0.25">
      <c r="A20" t="s">
        <v>146</v>
      </c>
      <c r="B20" s="3">
        <f>(90.1+92.8+93.1)/3</f>
        <v>92</v>
      </c>
      <c r="C20">
        <v>94</v>
      </c>
      <c r="E20" s="3">
        <f t="shared" si="0"/>
        <v>2</v>
      </c>
    </row>
    <row r="21" spans="1:5" x14ac:dyDescent="0.25">
      <c r="A21" t="s">
        <v>147</v>
      </c>
      <c r="B21">
        <v>68.400000000000006</v>
      </c>
      <c r="C21">
        <v>65.8</v>
      </c>
      <c r="E21" s="3">
        <f t="shared" si="0"/>
        <v>-2.6000000000000085</v>
      </c>
    </row>
    <row r="22" spans="1:5" x14ac:dyDescent="0.25">
      <c r="A22" t="s">
        <v>155</v>
      </c>
      <c r="B22" s="3">
        <f>(73.9+74.7+74.2)/3</f>
        <v>74.266666666666666</v>
      </c>
      <c r="C22">
        <v>76.099999999999994</v>
      </c>
      <c r="E22" s="3">
        <f t="shared" si="0"/>
        <v>1.8333333333333286</v>
      </c>
    </row>
    <row r="23" spans="1:5" x14ac:dyDescent="0.25">
      <c r="A23" t="s">
        <v>158</v>
      </c>
      <c r="B23">
        <v>85.7</v>
      </c>
      <c r="C23" s="3">
        <f>(83.8+86.8+86.7)/3</f>
        <v>85.766666666666666</v>
      </c>
      <c r="E23" s="3">
        <f t="shared" si="0"/>
        <v>6.6666666666662877E-2</v>
      </c>
    </row>
    <row r="24" spans="1:5" x14ac:dyDescent="0.25">
      <c r="A24" t="s">
        <v>162</v>
      </c>
      <c r="B24" s="3">
        <f>(103.8+105.3+105.5)/3</f>
        <v>104.86666666666667</v>
      </c>
      <c r="C24">
        <v>109</v>
      </c>
      <c r="E24" s="3">
        <f t="shared" si="0"/>
        <v>4.1333333333333258</v>
      </c>
    </row>
    <row r="25" spans="1:5" x14ac:dyDescent="0.25">
      <c r="A25" t="s">
        <v>160</v>
      </c>
      <c r="B25">
        <v>99</v>
      </c>
      <c r="C25">
        <v>102.4</v>
      </c>
      <c r="E25" s="3">
        <f t="shared" si="0"/>
        <v>3.4000000000000057</v>
      </c>
    </row>
    <row r="26" spans="1:5" x14ac:dyDescent="0.25">
      <c r="A26" t="s">
        <v>173</v>
      </c>
      <c r="B26">
        <f>(82.1+83+82.7)/3</f>
        <v>82.600000000000009</v>
      </c>
      <c r="C26" s="3">
        <f>(79.9+82.4+80.8)/3</f>
        <v>81.033333333333346</v>
      </c>
      <c r="E26" s="3">
        <f t="shared" si="0"/>
        <v>-1.5666666666666629</v>
      </c>
    </row>
    <row r="27" spans="1:5" x14ac:dyDescent="0.25">
      <c r="A27" t="s">
        <v>174</v>
      </c>
      <c r="B27">
        <v>100</v>
      </c>
      <c r="C27" s="3">
        <f>(95.9+97.9+97.3)/3</f>
        <v>97.033333333333346</v>
      </c>
      <c r="E27" s="3">
        <f t="shared" si="0"/>
        <v>-2.9666666666666544</v>
      </c>
    </row>
    <row r="28" spans="1:5" x14ac:dyDescent="0.25">
      <c r="A28" t="s">
        <v>175</v>
      </c>
      <c r="B28" s="3">
        <f>(118+119.8+120.5)/3</f>
        <v>119.43333333333334</v>
      </c>
      <c r="C28">
        <f>(116+117.5+118.4)/3</f>
        <v>117.3</v>
      </c>
      <c r="E28" s="3">
        <f t="shared" si="0"/>
        <v>-2.13333333333334</v>
      </c>
    </row>
    <row r="29" spans="1:5" x14ac:dyDescent="0.25">
      <c r="A29" t="s">
        <v>187</v>
      </c>
      <c r="B29" s="3">
        <f>(92.2+92.7+92.8)/3</f>
        <v>92.566666666666663</v>
      </c>
      <c r="C29" s="3">
        <f>(89.6+89+89.4)/3</f>
        <v>89.333333333333329</v>
      </c>
      <c r="E29" s="3">
        <f t="shared" si="0"/>
        <v>-3.2333333333333343</v>
      </c>
    </row>
    <row r="30" spans="1:5" x14ac:dyDescent="0.25">
      <c r="A30" t="s">
        <v>186</v>
      </c>
      <c r="B30">
        <v>84</v>
      </c>
      <c r="C30" s="3">
        <f>(82.5+85.5+83.5)/3</f>
        <v>83.833333333333329</v>
      </c>
      <c r="E30" s="3">
        <f t="shared" si="0"/>
        <v>-0.1666666666666714</v>
      </c>
    </row>
    <row r="31" spans="1:5" x14ac:dyDescent="0.25">
      <c r="E31" s="3"/>
    </row>
    <row r="32" spans="1:5" s="25" customFormat="1" x14ac:dyDescent="0.25">
      <c r="A32" s="25" t="s">
        <v>1</v>
      </c>
      <c r="E32" s="3"/>
    </row>
    <row r="33" spans="1:5" x14ac:dyDescent="0.25">
      <c r="A33" t="s">
        <v>3</v>
      </c>
      <c r="B33">
        <v>80</v>
      </c>
      <c r="C33">
        <v>78.5</v>
      </c>
      <c r="E33" s="3">
        <f t="shared" si="0"/>
        <v>-1.5</v>
      </c>
    </row>
    <row r="34" spans="1:5" x14ac:dyDescent="0.25">
      <c r="A34" t="s">
        <v>13</v>
      </c>
      <c r="B34">
        <v>73.3</v>
      </c>
      <c r="C34">
        <v>75.3</v>
      </c>
      <c r="E34" s="3">
        <f t="shared" si="0"/>
        <v>2</v>
      </c>
    </row>
    <row r="35" spans="1:5" x14ac:dyDescent="0.25">
      <c r="A35" t="s">
        <v>68</v>
      </c>
      <c r="B35" s="3">
        <f>(71.3+71.7+72.8)/3</f>
        <v>71.933333333333337</v>
      </c>
      <c r="C35" s="3">
        <f>(76.5+75+74.2)/3</f>
        <v>75.233333333333334</v>
      </c>
      <c r="E35" s="3">
        <f t="shared" si="0"/>
        <v>3.2999999999999972</v>
      </c>
    </row>
    <row r="36" spans="1:5" x14ac:dyDescent="0.25">
      <c r="A36" t="s">
        <v>69</v>
      </c>
      <c r="B36">
        <v>86.1</v>
      </c>
      <c r="C36" s="3">
        <f>(82+88+86.1)/3</f>
        <v>85.366666666666674</v>
      </c>
      <c r="E36" s="3">
        <f t="shared" si="0"/>
        <v>-0.73333333333332007</v>
      </c>
    </row>
    <row r="37" spans="1:5" x14ac:dyDescent="0.25">
      <c r="A37" t="s">
        <v>70</v>
      </c>
      <c r="B37" s="3">
        <f>(76.1+82.3+78.5)/3</f>
        <v>78.966666666666654</v>
      </c>
      <c r="C37" s="3">
        <f>(74+74+77)/3</f>
        <v>75</v>
      </c>
      <c r="E37" s="3">
        <f t="shared" si="0"/>
        <v>-3.9666666666666544</v>
      </c>
    </row>
    <row r="38" spans="1:5" x14ac:dyDescent="0.25">
      <c r="A38" t="s">
        <v>74</v>
      </c>
      <c r="B38">
        <f>(82.5+82.3)/2</f>
        <v>82.4</v>
      </c>
      <c r="C38">
        <v>80.3</v>
      </c>
      <c r="E38" s="3">
        <f t="shared" si="0"/>
        <v>-2.1000000000000085</v>
      </c>
    </row>
    <row r="39" spans="1:5" x14ac:dyDescent="0.25">
      <c r="A39" t="s">
        <v>79</v>
      </c>
      <c r="B39">
        <v>72.2</v>
      </c>
      <c r="C39" s="3">
        <f>(72+76+73.3)/3</f>
        <v>73.766666666666666</v>
      </c>
      <c r="E39" s="3">
        <f t="shared" si="0"/>
        <v>1.5666666666666629</v>
      </c>
    </row>
    <row r="40" spans="1:5" x14ac:dyDescent="0.25">
      <c r="A40" t="s">
        <v>80</v>
      </c>
      <c r="B40">
        <v>74.3</v>
      </c>
      <c r="C40">
        <v>77</v>
      </c>
      <c r="E40" s="3">
        <f t="shared" si="0"/>
        <v>2.7000000000000028</v>
      </c>
    </row>
    <row r="41" spans="1:5" x14ac:dyDescent="0.25">
      <c r="A41" t="s">
        <v>86</v>
      </c>
      <c r="B41">
        <v>74.3</v>
      </c>
      <c r="C41">
        <f>(71.4+72.5+71.8)/3</f>
        <v>71.899999999999991</v>
      </c>
      <c r="E41" s="3">
        <f t="shared" si="0"/>
        <v>-2.4000000000000057</v>
      </c>
    </row>
    <row r="42" spans="1:5" x14ac:dyDescent="0.25">
      <c r="A42" t="s">
        <v>92</v>
      </c>
      <c r="B42" s="3">
        <f>(74+74.3)/2</f>
        <v>74.150000000000006</v>
      </c>
      <c r="C42" s="3">
        <f>(66.9+67.2+69.7)/3</f>
        <v>67.933333333333337</v>
      </c>
      <c r="E42" s="3">
        <f t="shared" si="0"/>
        <v>-6.2166666666666686</v>
      </c>
    </row>
    <row r="43" spans="1:5" x14ac:dyDescent="0.25">
      <c r="A43" t="s">
        <v>93</v>
      </c>
      <c r="B43" s="3">
        <f>(85.2+87+89.5+90.5)/4</f>
        <v>88.05</v>
      </c>
      <c r="C43" s="3">
        <f>(84+83.2+83.8)/3</f>
        <v>83.666666666666671</v>
      </c>
      <c r="E43" s="3">
        <f t="shared" si="0"/>
        <v>-4.3833333333333258</v>
      </c>
    </row>
    <row r="44" spans="1:5" x14ac:dyDescent="0.25">
      <c r="A44" t="s">
        <v>110</v>
      </c>
      <c r="B44" s="3">
        <f>(84.3+83.4+84.1)/3</f>
        <v>83.933333333333323</v>
      </c>
      <c r="C44">
        <f>(83.4+83+83.2)/3</f>
        <v>83.2</v>
      </c>
      <c r="E44" s="3">
        <f t="shared" si="0"/>
        <v>-0.73333333333332007</v>
      </c>
    </row>
    <row r="45" spans="1:5" x14ac:dyDescent="0.25">
      <c r="A45" t="s">
        <v>120</v>
      </c>
      <c r="B45" s="3">
        <f>(78.2+78.9+78)/3</f>
        <v>78.366666666666674</v>
      </c>
      <c r="C45">
        <f>(69.8+70.8+71.8)/3</f>
        <v>70.8</v>
      </c>
      <c r="E45" s="3">
        <f t="shared" si="0"/>
        <v>-7.5666666666666771</v>
      </c>
    </row>
    <row r="46" spans="1:5" x14ac:dyDescent="0.25">
      <c r="A46" t="s">
        <v>125</v>
      </c>
      <c r="B46" s="3">
        <f>(64.4+65.4+65.6)/3</f>
        <v>65.13333333333334</v>
      </c>
      <c r="C46" s="3">
        <f>(63.5+64+64)/3</f>
        <v>63.833333333333336</v>
      </c>
      <c r="E46" s="3">
        <f t="shared" si="0"/>
        <v>-1.3000000000000043</v>
      </c>
    </row>
    <row r="47" spans="1:5" x14ac:dyDescent="0.25">
      <c r="A47" t="s">
        <v>130</v>
      </c>
      <c r="B47" s="3">
        <f>(68.8+69.3+70.5)/3</f>
        <v>69.533333333333331</v>
      </c>
      <c r="C47">
        <v>72.2</v>
      </c>
      <c r="E47" s="3">
        <f t="shared" si="0"/>
        <v>2.6666666666666714</v>
      </c>
    </row>
    <row r="48" spans="1:5" x14ac:dyDescent="0.25">
      <c r="A48" t="s">
        <v>145</v>
      </c>
      <c r="B48" s="3">
        <f>(67.3+66.2+65.8)/3</f>
        <v>66.433333333333337</v>
      </c>
      <c r="C48">
        <f>(66.6+67.7+67.3)/3</f>
        <v>67.2</v>
      </c>
      <c r="E48" s="3">
        <f t="shared" si="0"/>
        <v>0.76666666666666572</v>
      </c>
    </row>
    <row r="49" spans="1:5" x14ac:dyDescent="0.25">
      <c r="A49" t="s">
        <v>144</v>
      </c>
      <c r="B49">
        <f>(74.8+76.5+77)/3</f>
        <v>76.100000000000009</v>
      </c>
      <c r="C49" s="3">
        <f>(76.4+75.1)/2</f>
        <v>75.75</v>
      </c>
      <c r="E49" s="3">
        <f t="shared" si="0"/>
        <v>-0.35000000000000853</v>
      </c>
    </row>
    <row r="50" spans="1:5" x14ac:dyDescent="0.25">
      <c r="A50" t="s">
        <v>132</v>
      </c>
      <c r="B50" s="3">
        <f>(76.1+76.4)/2</f>
        <v>76.25</v>
      </c>
      <c r="C50" s="3">
        <f>(76+76.6+77.7)/3</f>
        <v>76.766666666666666</v>
      </c>
      <c r="E50" s="3">
        <f t="shared" si="0"/>
        <v>0.51666666666666572</v>
      </c>
    </row>
    <row r="51" spans="1:5" x14ac:dyDescent="0.25">
      <c r="A51" t="s">
        <v>146</v>
      </c>
      <c r="B51" s="3">
        <f>(93+93.5+93.9)/3</f>
        <v>93.466666666666654</v>
      </c>
      <c r="C51" s="3">
        <f>(92+94.6+94.4)/3</f>
        <v>93.666666666666671</v>
      </c>
      <c r="E51" s="3">
        <f t="shared" si="0"/>
        <v>0.20000000000001705</v>
      </c>
    </row>
    <row r="52" spans="1:5" x14ac:dyDescent="0.25">
      <c r="A52" t="s">
        <v>147</v>
      </c>
      <c r="B52">
        <v>65.900000000000006</v>
      </c>
      <c r="C52">
        <v>63.5</v>
      </c>
      <c r="E52" s="3">
        <f t="shared" si="0"/>
        <v>-2.4000000000000057</v>
      </c>
    </row>
    <row r="53" spans="1:5" x14ac:dyDescent="0.25">
      <c r="A53" t="s">
        <v>155</v>
      </c>
      <c r="B53">
        <v>77.099999999999994</v>
      </c>
      <c r="C53">
        <v>76.8</v>
      </c>
      <c r="E53" s="3">
        <f t="shared" si="0"/>
        <v>-0.29999999999999716</v>
      </c>
    </row>
    <row r="54" spans="1:5" x14ac:dyDescent="0.25">
      <c r="A54" t="s">
        <v>158</v>
      </c>
      <c r="B54" s="3">
        <f>(82.1+82.8)/2</f>
        <v>82.449999999999989</v>
      </c>
      <c r="C54">
        <f>(88+99+88.7)/3</f>
        <v>91.899999999999991</v>
      </c>
      <c r="E54" s="3">
        <f t="shared" si="0"/>
        <v>9.4500000000000028</v>
      </c>
    </row>
    <row r="55" spans="1:5" x14ac:dyDescent="0.25">
      <c r="A55" t="s">
        <v>162</v>
      </c>
      <c r="B55" s="3">
        <f>(107+108+108.5)/3</f>
        <v>107.83333333333333</v>
      </c>
      <c r="C55" s="3">
        <f>(111.8+109.5+110)/3</f>
        <v>110.43333333333334</v>
      </c>
      <c r="E55" s="3">
        <f t="shared" si="0"/>
        <v>2.6000000000000085</v>
      </c>
    </row>
    <row r="56" spans="1:5" x14ac:dyDescent="0.25">
      <c r="A56" t="s">
        <v>160</v>
      </c>
      <c r="B56">
        <v>100.6</v>
      </c>
      <c r="C56">
        <v>101.6</v>
      </c>
      <c r="E56" s="3">
        <f t="shared" si="0"/>
        <v>1</v>
      </c>
    </row>
    <row r="57" spans="1:5" x14ac:dyDescent="0.25">
      <c r="A57" t="s">
        <v>173</v>
      </c>
      <c r="B57">
        <f>(82.7+82+82.2)/3</f>
        <v>82.3</v>
      </c>
      <c r="C57" s="3">
        <f>(82.7+81.7+82.1)/3</f>
        <v>82.166666666666671</v>
      </c>
      <c r="E57" s="3">
        <f t="shared" si="0"/>
        <v>-0.13333333333332575</v>
      </c>
    </row>
    <row r="58" spans="1:5" x14ac:dyDescent="0.25">
      <c r="A58" t="s">
        <v>174</v>
      </c>
      <c r="B58" s="3">
        <f>(98.2+99.2+98.2)/3</f>
        <v>98.533333333333346</v>
      </c>
      <c r="C58">
        <f>(97.2+99.5+99.1)/3</f>
        <v>98.59999999999998</v>
      </c>
      <c r="E58" s="3">
        <f t="shared" si="0"/>
        <v>6.6666666666634455E-2</v>
      </c>
    </row>
    <row r="59" spans="1:5" x14ac:dyDescent="0.25">
      <c r="A59" t="s">
        <v>175</v>
      </c>
      <c r="B59">
        <v>115.6</v>
      </c>
      <c r="C59">
        <f>(119.5+118.8+119)/3</f>
        <v>119.10000000000001</v>
      </c>
      <c r="E59" s="3">
        <f t="shared" si="0"/>
        <v>3.5000000000000142</v>
      </c>
    </row>
    <row r="60" spans="1:5" x14ac:dyDescent="0.25">
      <c r="A60" t="s">
        <v>187</v>
      </c>
      <c r="B60" s="3">
        <f>(90.8+91.4+92.4)/3</f>
        <v>91.533333333333346</v>
      </c>
      <c r="C60">
        <v>91.5</v>
      </c>
      <c r="E60" s="3">
        <f t="shared" si="0"/>
        <v>-3.3333333333345649E-2</v>
      </c>
    </row>
    <row r="61" spans="1:5" x14ac:dyDescent="0.25">
      <c r="A61" t="s">
        <v>186</v>
      </c>
      <c r="B61">
        <v>84</v>
      </c>
      <c r="C61">
        <f>(87.2+86.8+88.5)/3</f>
        <v>87.5</v>
      </c>
      <c r="E61" s="3">
        <f t="shared" si="0"/>
        <v>3.5</v>
      </c>
    </row>
    <row r="63" spans="1:5" x14ac:dyDescent="0.25">
      <c r="D63" s="25"/>
      <c r="E63" s="37"/>
    </row>
    <row r="65" spans="4:6" x14ac:dyDescent="0.25">
      <c r="D65" s="25"/>
      <c r="E65" s="27"/>
      <c r="F65" s="27"/>
    </row>
    <row r="66" spans="4:6" x14ac:dyDescent="0.25">
      <c r="D66" s="25"/>
      <c r="E66" s="27"/>
      <c r="F66" s="27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Z69"/>
  <sheetViews>
    <sheetView zoomScale="55" zoomScaleNormal="55" workbookViewId="0">
      <selection activeCell="S41" sqref="S41"/>
    </sheetView>
  </sheetViews>
  <sheetFormatPr defaultRowHeight="15" x14ac:dyDescent="0.25"/>
  <cols>
    <col min="17" max="20" width="9.140625" style="20"/>
    <col min="21" max="22" width="9.140625" style="21"/>
    <col min="23" max="26" width="9.140625" style="20"/>
  </cols>
  <sheetData>
    <row r="1" spans="1:21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R1" s="32"/>
      <c r="U1" s="29"/>
    </row>
    <row r="2" spans="1:21" x14ac:dyDescent="0.25">
      <c r="A2" s="4" t="s">
        <v>3</v>
      </c>
      <c r="B2">
        <v>206</v>
      </c>
      <c r="C2">
        <v>233</v>
      </c>
      <c r="D2">
        <v>208</v>
      </c>
      <c r="E2">
        <v>220</v>
      </c>
      <c r="F2">
        <v>250</v>
      </c>
      <c r="G2">
        <v>255</v>
      </c>
      <c r="H2">
        <v>220</v>
      </c>
      <c r="I2">
        <v>197</v>
      </c>
      <c r="K2">
        <f>(AVERAGE(B2:I2))</f>
        <v>223.625</v>
      </c>
      <c r="M2">
        <f>AVERAGE(B2:E2)</f>
        <v>216.75</v>
      </c>
      <c r="N2">
        <f>AVERAGE(F2:I2)</f>
        <v>230.5</v>
      </c>
      <c r="R2" s="5"/>
      <c r="S2" t="s">
        <v>247</v>
      </c>
    </row>
    <row r="3" spans="1:21" x14ac:dyDescent="0.25">
      <c r="A3" s="4" t="s">
        <v>13</v>
      </c>
      <c r="B3" s="4">
        <v>112</v>
      </c>
      <c r="C3" s="4">
        <v>114</v>
      </c>
      <c r="D3" s="4">
        <v>81</v>
      </c>
      <c r="E3" s="4">
        <v>80</v>
      </c>
      <c r="F3" s="4">
        <v>124</v>
      </c>
      <c r="G3" s="4">
        <v>106</v>
      </c>
      <c r="H3" s="4">
        <v>130</v>
      </c>
      <c r="I3" s="4">
        <v>141</v>
      </c>
      <c r="K3">
        <f t="shared" ref="K3:K55" si="0">(AVERAGE(B3:I3))</f>
        <v>111</v>
      </c>
      <c r="M3">
        <f t="shared" ref="M3:M55" si="1">AVERAGE(B3:E3)</f>
        <v>96.75</v>
      </c>
      <c r="N3">
        <f t="shared" ref="N3:N55" si="2">AVERAGE(F3:I3)</f>
        <v>125.25</v>
      </c>
    </row>
    <row r="4" spans="1:21" x14ac:dyDescent="0.25">
      <c r="A4" s="4" t="s">
        <v>68</v>
      </c>
      <c r="B4" s="4">
        <v>138</v>
      </c>
      <c r="C4" s="5"/>
      <c r="D4" s="5"/>
      <c r="E4" s="5"/>
      <c r="F4" s="4">
        <v>125</v>
      </c>
      <c r="G4" s="5"/>
      <c r="H4" s="4">
        <v>168</v>
      </c>
      <c r="I4" s="4">
        <v>158</v>
      </c>
      <c r="K4">
        <f t="shared" si="0"/>
        <v>147.25</v>
      </c>
      <c r="M4">
        <f t="shared" si="1"/>
        <v>138</v>
      </c>
      <c r="N4">
        <f t="shared" si="2"/>
        <v>150.33333333333334</v>
      </c>
    </row>
    <row r="5" spans="1:21" x14ac:dyDescent="0.25">
      <c r="A5" s="4" t="s">
        <v>69</v>
      </c>
      <c r="B5" s="4">
        <v>206</v>
      </c>
      <c r="C5" s="4">
        <v>185</v>
      </c>
      <c r="D5" s="4">
        <v>120</v>
      </c>
      <c r="E5" s="4">
        <v>163</v>
      </c>
      <c r="F5" s="5"/>
      <c r="G5" s="5"/>
      <c r="H5" s="5"/>
      <c r="I5" s="5"/>
      <c r="K5">
        <f t="shared" si="0"/>
        <v>168.5</v>
      </c>
      <c r="M5">
        <f t="shared" si="1"/>
        <v>168.5</v>
      </c>
      <c r="N5" s="5"/>
    </row>
    <row r="6" spans="1:21" x14ac:dyDescent="0.25">
      <c r="A6" t="s">
        <v>70</v>
      </c>
      <c r="B6">
        <v>109</v>
      </c>
      <c r="C6">
        <v>108</v>
      </c>
      <c r="D6">
        <v>104</v>
      </c>
      <c r="E6">
        <v>135</v>
      </c>
      <c r="F6" s="4">
        <v>112</v>
      </c>
      <c r="G6" s="4">
        <v>116</v>
      </c>
      <c r="H6" s="4">
        <v>137</v>
      </c>
      <c r="I6" s="4">
        <v>86</v>
      </c>
      <c r="K6">
        <f t="shared" si="0"/>
        <v>113.375</v>
      </c>
      <c r="M6">
        <f t="shared" si="1"/>
        <v>114</v>
      </c>
      <c r="N6">
        <f t="shared" si="2"/>
        <v>112.75</v>
      </c>
    </row>
    <row r="7" spans="1:21" x14ac:dyDescent="0.25">
      <c r="A7" s="4" t="s">
        <v>74</v>
      </c>
      <c r="B7" s="5"/>
      <c r="C7" s="4">
        <v>89</v>
      </c>
      <c r="D7" s="4">
        <v>86</v>
      </c>
      <c r="E7" s="5"/>
      <c r="F7" s="4">
        <v>82</v>
      </c>
      <c r="G7" s="4">
        <v>95</v>
      </c>
      <c r="H7" s="4">
        <v>91</v>
      </c>
      <c r="I7" s="4">
        <v>88</v>
      </c>
      <c r="K7">
        <f>(AVERAGE(C7:H7))</f>
        <v>88.6</v>
      </c>
      <c r="M7">
        <f>AVERAGE(C7:E7)</f>
        <v>87.5</v>
      </c>
      <c r="N7">
        <f>AVERAGE(F7:H7)</f>
        <v>89.333333333333329</v>
      </c>
    </row>
    <row r="8" spans="1:21" x14ac:dyDescent="0.25">
      <c r="A8" t="s">
        <v>79</v>
      </c>
      <c r="B8">
        <v>84</v>
      </c>
      <c r="C8" s="4">
        <v>94</v>
      </c>
      <c r="D8" s="4">
        <v>87</v>
      </c>
      <c r="E8" s="4">
        <v>93</v>
      </c>
      <c r="F8" s="4">
        <v>138</v>
      </c>
      <c r="G8" s="4">
        <v>80</v>
      </c>
      <c r="H8" s="4">
        <v>90</v>
      </c>
      <c r="I8" s="4">
        <v>87</v>
      </c>
      <c r="K8">
        <f t="shared" si="0"/>
        <v>94.125</v>
      </c>
      <c r="M8">
        <f t="shared" si="1"/>
        <v>89.5</v>
      </c>
      <c r="N8">
        <f t="shared" si="2"/>
        <v>98.75</v>
      </c>
    </row>
    <row r="9" spans="1:21" x14ac:dyDescent="0.25">
      <c r="A9" s="4" t="s">
        <v>80</v>
      </c>
      <c r="B9" s="4">
        <v>187</v>
      </c>
      <c r="C9" s="4">
        <v>193</v>
      </c>
      <c r="D9" s="4">
        <v>253</v>
      </c>
      <c r="E9" s="4">
        <v>223</v>
      </c>
      <c r="F9" s="5"/>
      <c r="G9" s="5"/>
      <c r="H9" s="4">
        <v>227</v>
      </c>
      <c r="I9" s="4">
        <v>183</v>
      </c>
      <c r="K9">
        <f t="shared" si="0"/>
        <v>211</v>
      </c>
      <c r="M9">
        <f t="shared" si="1"/>
        <v>214</v>
      </c>
      <c r="N9">
        <f t="shared" si="2"/>
        <v>205</v>
      </c>
    </row>
    <row r="10" spans="1:21" x14ac:dyDescent="0.25">
      <c r="A10" s="4" t="s">
        <v>86</v>
      </c>
      <c r="B10" s="4">
        <v>94</v>
      </c>
      <c r="C10" s="4">
        <v>102</v>
      </c>
      <c r="D10" s="4">
        <v>82</v>
      </c>
      <c r="E10" s="4">
        <v>86</v>
      </c>
      <c r="F10" s="4">
        <v>77</v>
      </c>
      <c r="G10" s="4">
        <v>82</v>
      </c>
      <c r="H10" s="5"/>
      <c r="I10" s="4">
        <v>76</v>
      </c>
      <c r="K10">
        <f t="shared" si="0"/>
        <v>85.571428571428569</v>
      </c>
      <c r="M10">
        <f t="shared" si="1"/>
        <v>91</v>
      </c>
      <c r="N10">
        <f t="shared" si="2"/>
        <v>78.333333333333329</v>
      </c>
    </row>
    <row r="11" spans="1:21" x14ac:dyDescent="0.25">
      <c r="A11" s="4" t="s">
        <v>92</v>
      </c>
      <c r="B11" s="5"/>
      <c r="C11" s="4">
        <v>74</v>
      </c>
      <c r="D11" s="5"/>
      <c r="E11" s="4">
        <v>87</v>
      </c>
      <c r="F11" s="5"/>
      <c r="G11" s="5"/>
      <c r="H11" s="5"/>
      <c r="I11" s="5"/>
      <c r="K11">
        <f t="shared" si="0"/>
        <v>80.5</v>
      </c>
      <c r="M11">
        <f t="shared" si="1"/>
        <v>80.5</v>
      </c>
      <c r="N11" s="5"/>
    </row>
    <row r="12" spans="1:21" x14ac:dyDescent="0.25">
      <c r="A12" t="s">
        <v>93</v>
      </c>
      <c r="B12" s="4">
        <v>123</v>
      </c>
      <c r="C12" s="4">
        <v>110</v>
      </c>
      <c r="D12" s="4">
        <v>130</v>
      </c>
      <c r="E12" s="4">
        <v>102</v>
      </c>
      <c r="F12" s="5"/>
      <c r="G12" s="5"/>
      <c r="H12" s="5"/>
      <c r="I12" s="5"/>
      <c r="K12">
        <f t="shared" si="0"/>
        <v>116.25</v>
      </c>
      <c r="M12">
        <f t="shared" si="1"/>
        <v>116.25</v>
      </c>
      <c r="N12" s="5"/>
    </row>
    <row r="13" spans="1:21" x14ac:dyDescent="0.25">
      <c r="A13" t="s">
        <v>110</v>
      </c>
      <c r="B13" s="4">
        <v>230</v>
      </c>
      <c r="C13" s="4">
        <v>212</v>
      </c>
      <c r="D13" s="4">
        <v>222</v>
      </c>
      <c r="E13" s="4">
        <v>183</v>
      </c>
      <c r="F13" s="4">
        <v>209</v>
      </c>
      <c r="G13" s="4">
        <v>235</v>
      </c>
      <c r="H13" s="4">
        <v>187</v>
      </c>
      <c r="I13" s="4">
        <v>183</v>
      </c>
      <c r="K13">
        <f t="shared" si="0"/>
        <v>207.625</v>
      </c>
      <c r="M13">
        <f t="shared" si="1"/>
        <v>211.75</v>
      </c>
      <c r="N13">
        <f t="shared" si="2"/>
        <v>203.5</v>
      </c>
    </row>
    <row r="14" spans="1:21" x14ac:dyDescent="0.25">
      <c r="A14" t="s">
        <v>120</v>
      </c>
      <c r="B14" s="4">
        <v>142</v>
      </c>
      <c r="C14" s="5"/>
      <c r="D14" s="4">
        <v>96</v>
      </c>
      <c r="E14" s="5"/>
      <c r="F14">
        <v>101</v>
      </c>
      <c r="G14" s="4">
        <v>69</v>
      </c>
      <c r="H14" s="4">
        <v>80</v>
      </c>
      <c r="I14" s="4">
        <v>67</v>
      </c>
      <c r="K14">
        <f>(AVERAGE(C14:I14))</f>
        <v>82.6</v>
      </c>
      <c r="M14">
        <f>AVERAGE(C14:E14)</f>
        <v>96</v>
      </c>
      <c r="N14">
        <f t="shared" si="2"/>
        <v>79.25</v>
      </c>
    </row>
    <row r="15" spans="1:21" x14ac:dyDescent="0.25">
      <c r="A15" t="s">
        <v>125</v>
      </c>
      <c r="B15" s="4">
        <v>99</v>
      </c>
      <c r="C15" s="4">
        <v>84</v>
      </c>
      <c r="D15" s="4">
        <v>98</v>
      </c>
      <c r="E15" s="4">
        <v>77</v>
      </c>
      <c r="F15" s="5"/>
      <c r="G15" s="4">
        <v>90</v>
      </c>
      <c r="H15" s="4">
        <v>110</v>
      </c>
      <c r="I15" s="4">
        <v>114</v>
      </c>
      <c r="K15">
        <f t="shared" si="0"/>
        <v>96</v>
      </c>
      <c r="M15">
        <f>AVERAGE(B15:E15)</f>
        <v>89.5</v>
      </c>
      <c r="N15">
        <f t="shared" si="2"/>
        <v>104.66666666666667</v>
      </c>
    </row>
    <row r="16" spans="1:21" x14ac:dyDescent="0.25">
      <c r="A16" t="s">
        <v>130</v>
      </c>
      <c r="B16" s="5"/>
      <c r="C16" s="5"/>
      <c r="D16" s="5"/>
      <c r="E16" s="5"/>
      <c r="F16">
        <v>73</v>
      </c>
      <c r="G16" s="4">
        <v>94</v>
      </c>
      <c r="H16" s="4">
        <v>124</v>
      </c>
      <c r="I16" s="4">
        <v>93</v>
      </c>
      <c r="K16">
        <f t="shared" si="0"/>
        <v>96</v>
      </c>
      <c r="M16" s="5"/>
      <c r="N16">
        <f t="shared" si="2"/>
        <v>96</v>
      </c>
    </row>
    <row r="17" spans="1:26" x14ac:dyDescent="0.25">
      <c r="A17" t="s">
        <v>145</v>
      </c>
      <c r="B17" s="4">
        <v>154</v>
      </c>
      <c r="C17" s="4">
        <v>161</v>
      </c>
      <c r="D17" s="4">
        <v>199</v>
      </c>
      <c r="E17" s="5"/>
      <c r="F17" s="5"/>
      <c r="G17" s="4">
        <v>124</v>
      </c>
      <c r="H17" s="4">
        <v>132</v>
      </c>
      <c r="I17" s="4">
        <v>135</v>
      </c>
      <c r="K17">
        <f t="shared" si="0"/>
        <v>150.83333333333334</v>
      </c>
      <c r="M17">
        <f t="shared" si="1"/>
        <v>171.33333333333334</v>
      </c>
      <c r="N17">
        <f t="shared" si="2"/>
        <v>130.33333333333334</v>
      </c>
    </row>
    <row r="18" spans="1:26" x14ac:dyDescent="0.25">
      <c r="A18" t="s">
        <v>144</v>
      </c>
      <c r="B18" s="4">
        <v>108</v>
      </c>
      <c r="C18" s="4">
        <v>92</v>
      </c>
      <c r="D18" s="4">
        <v>103</v>
      </c>
      <c r="E18" s="4">
        <v>73</v>
      </c>
      <c r="F18" s="4">
        <v>122</v>
      </c>
      <c r="G18" s="4">
        <v>116</v>
      </c>
      <c r="H18" s="5"/>
      <c r="I18" s="4">
        <v>90</v>
      </c>
      <c r="K18">
        <f t="shared" si="0"/>
        <v>100.57142857142857</v>
      </c>
      <c r="M18">
        <f t="shared" si="1"/>
        <v>94</v>
      </c>
      <c r="N18">
        <f t="shared" si="2"/>
        <v>109.33333333333333</v>
      </c>
    </row>
    <row r="19" spans="1:26" x14ac:dyDescent="0.25">
      <c r="A19" t="s">
        <v>132</v>
      </c>
      <c r="B19" s="4">
        <v>85</v>
      </c>
      <c r="C19" s="4">
        <v>134</v>
      </c>
      <c r="D19" s="4">
        <v>97</v>
      </c>
      <c r="E19" s="4">
        <v>92</v>
      </c>
      <c r="F19" s="4">
        <v>67</v>
      </c>
      <c r="G19" s="4">
        <v>86</v>
      </c>
      <c r="H19" s="4">
        <v>105</v>
      </c>
      <c r="I19" s="4">
        <v>101</v>
      </c>
      <c r="K19">
        <f t="shared" si="0"/>
        <v>95.875</v>
      </c>
      <c r="M19">
        <f t="shared" si="1"/>
        <v>102</v>
      </c>
      <c r="N19">
        <f t="shared" si="2"/>
        <v>89.75</v>
      </c>
    </row>
    <row r="20" spans="1:26" x14ac:dyDescent="0.25">
      <c r="A20" t="s">
        <v>146</v>
      </c>
      <c r="B20" s="4">
        <v>110</v>
      </c>
      <c r="C20" s="4">
        <v>94</v>
      </c>
      <c r="D20" s="4">
        <v>130</v>
      </c>
      <c r="E20" s="4">
        <v>123</v>
      </c>
      <c r="F20" s="4">
        <v>118</v>
      </c>
      <c r="G20" s="4">
        <v>118</v>
      </c>
      <c r="H20" s="4">
        <v>151</v>
      </c>
      <c r="I20" s="4">
        <v>147</v>
      </c>
      <c r="K20">
        <f t="shared" si="0"/>
        <v>123.875</v>
      </c>
      <c r="M20">
        <f t="shared" si="1"/>
        <v>114.25</v>
      </c>
      <c r="N20">
        <f t="shared" si="2"/>
        <v>133.5</v>
      </c>
    </row>
    <row r="21" spans="1:26" x14ac:dyDescent="0.25">
      <c r="A21" t="s">
        <v>147</v>
      </c>
      <c r="B21" s="4">
        <v>104</v>
      </c>
      <c r="C21" s="4">
        <v>115</v>
      </c>
      <c r="D21" s="4">
        <v>81</v>
      </c>
      <c r="E21" s="4">
        <v>63</v>
      </c>
      <c r="F21" s="4">
        <v>103</v>
      </c>
      <c r="G21" s="4">
        <v>80</v>
      </c>
      <c r="H21" s="4">
        <v>95</v>
      </c>
      <c r="I21" s="4">
        <v>92</v>
      </c>
      <c r="K21">
        <f t="shared" si="0"/>
        <v>91.625</v>
      </c>
      <c r="M21">
        <f t="shared" si="1"/>
        <v>90.75</v>
      </c>
      <c r="N21">
        <f t="shared" si="2"/>
        <v>92.5</v>
      </c>
    </row>
    <row r="22" spans="1:26" x14ac:dyDescent="0.25">
      <c r="A22" t="s">
        <v>155</v>
      </c>
      <c r="B22" s="4">
        <v>144</v>
      </c>
      <c r="C22" s="4">
        <v>117</v>
      </c>
      <c r="D22" s="4">
        <v>77</v>
      </c>
      <c r="E22" s="4">
        <v>118</v>
      </c>
      <c r="F22" s="4">
        <v>122</v>
      </c>
      <c r="G22" s="4">
        <v>119</v>
      </c>
      <c r="H22" s="4">
        <v>125</v>
      </c>
      <c r="I22" s="5"/>
      <c r="K22">
        <f>(AVERAGE(C22:I22))</f>
        <v>113</v>
      </c>
      <c r="M22">
        <f>AVERAGE(C22:F22)</f>
        <v>108.5</v>
      </c>
      <c r="N22">
        <f>AVERAGE(G22:I22)</f>
        <v>122</v>
      </c>
    </row>
    <row r="23" spans="1:26" x14ac:dyDescent="0.25">
      <c r="A23" t="s">
        <v>158</v>
      </c>
      <c r="B23" s="4">
        <v>69</v>
      </c>
      <c r="C23" s="4">
        <v>79</v>
      </c>
      <c r="D23" s="4">
        <v>91</v>
      </c>
      <c r="E23" s="4">
        <v>74</v>
      </c>
      <c r="F23" s="5"/>
      <c r="G23" s="4">
        <v>104</v>
      </c>
      <c r="H23" s="4">
        <v>116</v>
      </c>
      <c r="I23" s="4">
        <v>118</v>
      </c>
      <c r="K23">
        <f t="shared" si="0"/>
        <v>93</v>
      </c>
      <c r="M23">
        <f t="shared" si="1"/>
        <v>78.25</v>
      </c>
      <c r="N23">
        <f t="shared" si="2"/>
        <v>112.66666666666667</v>
      </c>
    </row>
    <row r="24" spans="1:26" x14ac:dyDescent="0.25">
      <c r="A24" t="s">
        <v>162</v>
      </c>
      <c r="B24" s="4">
        <v>89</v>
      </c>
      <c r="C24" s="4">
        <v>83</v>
      </c>
      <c r="D24" s="5"/>
      <c r="E24" s="5"/>
      <c r="F24" s="4">
        <v>107</v>
      </c>
      <c r="G24" s="4">
        <v>106</v>
      </c>
      <c r="H24" s="4">
        <v>75</v>
      </c>
      <c r="I24" s="4">
        <v>88</v>
      </c>
      <c r="K24">
        <f t="shared" si="0"/>
        <v>91.333333333333329</v>
      </c>
      <c r="M24">
        <f t="shared" si="1"/>
        <v>86</v>
      </c>
      <c r="N24">
        <f t="shared" si="2"/>
        <v>94</v>
      </c>
    </row>
    <row r="25" spans="1:26" x14ac:dyDescent="0.25">
      <c r="A25" t="s">
        <v>160</v>
      </c>
      <c r="B25" s="4">
        <v>196</v>
      </c>
      <c r="C25" s="4">
        <v>188</v>
      </c>
      <c r="D25" s="4">
        <v>196</v>
      </c>
      <c r="E25" s="4">
        <v>194</v>
      </c>
      <c r="F25" s="5"/>
      <c r="G25" s="4">
        <v>208</v>
      </c>
      <c r="H25" s="4">
        <v>181</v>
      </c>
      <c r="I25" s="4">
        <v>207</v>
      </c>
      <c r="K25">
        <f t="shared" si="0"/>
        <v>195.71428571428572</v>
      </c>
      <c r="M25">
        <f t="shared" si="1"/>
        <v>193.5</v>
      </c>
      <c r="N25">
        <f t="shared" si="2"/>
        <v>198.66666666666666</v>
      </c>
    </row>
    <row r="26" spans="1:26" x14ac:dyDescent="0.25">
      <c r="A26" t="s">
        <v>173</v>
      </c>
      <c r="B26" s="4">
        <v>76</v>
      </c>
      <c r="C26" s="4">
        <v>85</v>
      </c>
      <c r="D26" s="4">
        <v>86</v>
      </c>
      <c r="E26" s="4">
        <v>81</v>
      </c>
      <c r="F26" s="5"/>
      <c r="G26" s="4">
        <v>84</v>
      </c>
      <c r="H26" s="5"/>
      <c r="I26" s="5"/>
      <c r="K26">
        <f t="shared" si="0"/>
        <v>82.4</v>
      </c>
      <c r="M26">
        <f t="shared" si="1"/>
        <v>82</v>
      </c>
      <c r="N26">
        <f t="shared" si="2"/>
        <v>84</v>
      </c>
    </row>
    <row r="27" spans="1:26" x14ac:dyDescent="0.25">
      <c r="A27" t="s">
        <v>174</v>
      </c>
      <c r="B27" s="4">
        <v>136</v>
      </c>
      <c r="C27" s="4">
        <v>198</v>
      </c>
      <c r="D27" s="4">
        <v>188</v>
      </c>
      <c r="E27" s="5"/>
      <c r="F27" s="4">
        <v>127</v>
      </c>
      <c r="G27" s="4">
        <v>124</v>
      </c>
      <c r="H27" s="5"/>
      <c r="I27" s="5"/>
      <c r="K27">
        <f t="shared" si="0"/>
        <v>154.6</v>
      </c>
      <c r="M27">
        <f t="shared" si="1"/>
        <v>174</v>
      </c>
      <c r="N27">
        <f t="shared" si="2"/>
        <v>125.5</v>
      </c>
    </row>
    <row r="28" spans="1:26" x14ac:dyDescent="0.25">
      <c r="A28" t="s">
        <v>175</v>
      </c>
      <c r="B28" s="4">
        <v>124</v>
      </c>
      <c r="C28" s="4">
        <v>172</v>
      </c>
      <c r="D28" s="4">
        <v>171</v>
      </c>
      <c r="E28" s="4">
        <v>170</v>
      </c>
      <c r="F28" s="4">
        <v>205</v>
      </c>
      <c r="G28" s="4">
        <v>182</v>
      </c>
      <c r="H28" s="4">
        <v>210</v>
      </c>
      <c r="I28" s="4">
        <v>132</v>
      </c>
      <c r="K28">
        <f t="shared" si="0"/>
        <v>170.75</v>
      </c>
      <c r="M28">
        <f t="shared" si="1"/>
        <v>159.25</v>
      </c>
      <c r="N28">
        <f t="shared" si="2"/>
        <v>182.25</v>
      </c>
    </row>
    <row r="29" spans="1:26" x14ac:dyDescent="0.25">
      <c r="A29" t="s">
        <v>187</v>
      </c>
      <c r="B29" s="4">
        <v>81</v>
      </c>
      <c r="C29" s="4">
        <v>72</v>
      </c>
      <c r="D29" s="4">
        <v>65</v>
      </c>
      <c r="E29" s="4">
        <v>69</v>
      </c>
      <c r="F29" s="4">
        <v>85</v>
      </c>
      <c r="G29" s="4">
        <v>62</v>
      </c>
      <c r="H29" s="4">
        <v>62</v>
      </c>
      <c r="I29" s="4">
        <v>73</v>
      </c>
      <c r="K29">
        <f t="shared" si="0"/>
        <v>71.125</v>
      </c>
      <c r="M29">
        <f t="shared" si="1"/>
        <v>71.75</v>
      </c>
      <c r="N29">
        <f t="shared" si="2"/>
        <v>70.5</v>
      </c>
    </row>
    <row r="30" spans="1:26" x14ac:dyDescent="0.25">
      <c r="A30" t="s">
        <v>186</v>
      </c>
      <c r="B30">
        <v>79</v>
      </c>
      <c r="C30">
        <v>76</v>
      </c>
      <c r="D30">
        <v>90</v>
      </c>
      <c r="E30">
        <v>90</v>
      </c>
      <c r="F30">
        <v>68</v>
      </c>
      <c r="G30">
        <v>68</v>
      </c>
      <c r="H30" s="5"/>
      <c r="I30">
        <v>102</v>
      </c>
      <c r="K30">
        <f t="shared" si="0"/>
        <v>81.857142857142861</v>
      </c>
      <c r="M30">
        <f t="shared" si="1"/>
        <v>83.75</v>
      </c>
      <c r="N30">
        <f t="shared" si="2"/>
        <v>79.333333333333329</v>
      </c>
    </row>
    <row r="31" spans="1:26" x14ac:dyDescent="0.25">
      <c r="H31" s="4"/>
    </row>
    <row r="32" spans="1:26" s="25" customFormat="1" x14ac:dyDescent="0.25">
      <c r="A32" s="25" t="s">
        <v>1</v>
      </c>
      <c r="Q32" s="32"/>
      <c r="R32" s="32"/>
      <c r="S32" s="32"/>
      <c r="T32" s="32"/>
      <c r="U32" s="33"/>
      <c r="V32" s="33"/>
      <c r="W32" s="32"/>
      <c r="X32" s="32"/>
      <c r="Y32" s="32"/>
      <c r="Z32" s="32"/>
    </row>
    <row r="33" spans="1:14" x14ac:dyDescent="0.25">
      <c r="A33" s="4" t="s">
        <v>3</v>
      </c>
      <c r="B33" s="4">
        <v>264</v>
      </c>
      <c r="C33" s="4">
        <v>262</v>
      </c>
      <c r="D33" s="4">
        <v>253</v>
      </c>
      <c r="E33" s="4">
        <v>275</v>
      </c>
      <c r="F33" s="4">
        <v>230</v>
      </c>
      <c r="G33" s="4">
        <v>226</v>
      </c>
      <c r="H33" s="4">
        <v>180</v>
      </c>
      <c r="I33" s="4">
        <v>156</v>
      </c>
      <c r="K33">
        <f t="shared" si="0"/>
        <v>230.75</v>
      </c>
      <c r="M33">
        <f t="shared" si="1"/>
        <v>263.5</v>
      </c>
      <c r="N33">
        <f t="shared" si="2"/>
        <v>198</v>
      </c>
    </row>
    <row r="34" spans="1:14" x14ac:dyDescent="0.25">
      <c r="A34" s="4" t="s">
        <v>13</v>
      </c>
      <c r="B34" s="4">
        <v>131</v>
      </c>
      <c r="C34" s="5"/>
      <c r="D34" s="4">
        <v>118</v>
      </c>
      <c r="E34" s="5"/>
      <c r="F34" s="4">
        <v>102</v>
      </c>
      <c r="G34" s="4">
        <v>111</v>
      </c>
      <c r="H34" s="4">
        <v>107</v>
      </c>
      <c r="I34" s="4">
        <v>122</v>
      </c>
      <c r="K34">
        <f t="shared" si="0"/>
        <v>115.16666666666667</v>
      </c>
      <c r="M34">
        <f t="shared" si="1"/>
        <v>124.5</v>
      </c>
      <c r="N34">
        <f t="shared" si="2"/>
        <v>110.5</v>
      </c>
    </row>
    <row r="35" spans="1:14" x14ac:dyDescent="0.25">
      <c r="A35" s="4" t="s">
        <v>68</v>
      </c>
      <c r="B35" s="5"/>
      <c r="C35" s="4">
        <v>137</v>
      </c>
      <c r="D35" s="5"/>
      <c r="E35" s="5"/>
      <c r="F35" s="5"/>
      <c r="G35" s="5"/>
      <c r="H35" s="5"/>
      <c r="I35" s="5"/>
      <c r="K35">
        <f t="shared" si="0"/>
        <v>137</v>
      </c>
      <c r="M35">
        <f t="shared" si="1"/>
        <v>137</v>
      </c>
      <c r="N35" s="5"/>
    </row>
    <row r="36" spans="1:14" x14ac:dyDescent="0.25">
      <c r="A36" s="4" t="s">
        <v>69</v>
      </c>
      <c r="B36" s="5"/>
      <c r="C36" s="5"/>
      <c r="D36" s="5"/>
      <c r="E36" s="5"/>
      <c r="F36" s="4">
        <v>114</v>
      </c>
      <c r="G36" s="4">
        <v>158</v>
      </c>
      <c r="H36" s="4">
        <v>152</v>
      </c>
      <c r="I36" s="4">
        <v>165</v>
      </c>
      <c r="K36">
        <f t="shared" si="0"/>
        <v>147.25</v>
      </c>
      <c r="M36" s="5"/>
      <c r="N36">
        <f t="shared" si="2"/>
        <v>147.25</v>
      </c>
    </row>
    <row r="37" spans="1:14" x14ac:dyDescent="0.25">
      <c r="A37" t="s">
        <v>70</v>
      </c>
      <c r="B37">
        <v>111</v>
      </c>
      <c r="C37">
        <v>129</v>
      </c>
      <c r="D37">
        <v>97</v>
      </c>
      <c r="E37" s="5"/>
      <c r="F37" s="4">
        <v>61</v>
      </c>
      <c r="G37" s="4">
        <v>85</v>
      </c>
      <c r="H37" s="4">
        <v>69</v>
      </c>
      <c r="I37" s="4">
        <v>84</v>
      </c>
      <c r="K37">
        <f t="shared" si="0"/>
        <v>90.857142857142861</v>
      </c>
      <c r="M37">
        <f t="shared" si="1"/>
        <v>112.33333333333333</v>
      </c>
      <c r="N37">
        <f t="shared" si="2"/>
        <v>74.75</v>
      </c>
    </row>
    <row r="38" spans="1:14" x14ac:dyDescent="0.25">
      <c r="A38" s="4" t="s">
        <v>74</v>
      </c>
      <c r="B38" s="4">
        <v>83</v>
      </c>
      <c r="C38" s="5"/>
      <c r="D38" s="4">
        <v>82</v>
      </c>
      <c r="E38" s="4">
        <v>96</v>
      </c>
      <c r="F38" s="5"/>
      <c r="G38" s="4">
        <v>105</v>
      </c>
      <c r="H38" s="4">
        <v>111</v>
      </c>
      <c r="I38" s="4">
        <v>88</v>
      </c>
      <c r="K38">
        <f t="shared" si="0"/>
        <v>94.166666666666671</v>
      </c>
      <c r="M38">
        <f t="shared" si="1"/>
        <v>87</v>
      </c>
      <c r="N38">
        <f t="shared" si="2"/>
        <v>101.33333333333333</v>
      </c>
    </row>
    <row r="39" spans="1:14" x14ac:dyDescent="0.25">
      <c r="A39" t="s">
        <v>79</v>
      </c>
      <c r="B39" s="4">
        <v>89</v>
      </c>
      <c r="C39">
        <v>120</v>
      </c>
      <c r="D39" s="4">
        <v>98</v>
      </c>
      <c r="E39" s="4">
        <v>86</v>
      </c>
      <c r="F39" s="4">
        <v>101</v>
      </c>
      <c r="G39" s="4">
        <v>97</v>
      </c>
      <c r="H39" s="4">
        <v>108</v>
      </c>
      <c r="I39" s="5"/>
      <c r="K39">
        <f t="shared" si="0"/>
        <v>99.857142857142861</v>
      </c>
      <c r="M39">
        <f t="shared" si="1"/>
        <v>98.25</v>
      </c>
      <c r="N39">
        <f t="shared" si="2"/>
        <v>102</v>
      </c>
    </row>
    <row r="40" spans="1:14" x14ac:dyDescent="0.25">
      <c r="A40" s="4" t="s">
        <v>80</v>
      </c>
      <c r="B40" s="5"/>
      <c r="C40" s="5"/>
      <c r="D40" s="5"/>
      <c r="E40" s="5"/>
      <c r="F40" s="4">
        <v>150</v>
      </c>
      <c r="G40" s="5"/>
      <c r="H40" s="4">
        <v>193</v>
      </c>
      <c r="I40" s="5"/>
      <c r="K40">
        <f t="shared" si="0"/>
        <v>171.5</v>
      </c>
      <c r="M40" s="5"/>
      <c r="N40">
        <f t="shared" si="2"/>
        <v>171.5</v>
      </c>
    </row>
    <row r="41" spans="1:14" x14ac:dyDescent="0.25">
      <c r="A41" s="4" t="s">
        <v>86</v>
      </c>
      <c r="B41" s="4">
        <v>114</v>
      </c>
      <c r="C41" s="4">
        <v>92</v>
      </c>
      <c r="D41" s="5"/>
      <c r="E41" s="4">
        <v>97</v>
      </c>
      <c r="F41" s="5"/>
      <c r="G41" s="5"/>
      <c r="H41" s="5"/>
      <c r="I41" s="5"/>
      <c r="K41">
        <f t="shared" si="0"/>
        <v>101</v>
      </c>
      <c r="M41">
        <f t="shared" si="1"/>
        <v>101</v>
      </c>
      <c r="N41" s="5"/>
    </row>
    <row r="42" spans="1:14" x14ac:dyDescent="0.25">
      <c r="A42" s="4" t="s">
        <v>92</v>
      </c>
      <c r="B42" s="4">
        <v>104</v>
      </c>
      <c r="C42" s="5"/>
      <c r="D42" s="5"/>
      <c r="E42" s="4">
        <v>120</v>
      </c>
      <c r="F42" s="4">
        <v>175</v>
      </c>
      <c r="G42" s="5"/>
      <c r="H42" s="5"/>
      <c r="I42" s="4">
        <v>10</v>
      </c>
      <c r="K42">
        <f t="shared" si="0"/>
        <v>102.25</v>
      </c>
      <c r="M42">
        <f t="shared" si="1"/>
        <v>112</v>
      </c>
      <c r="N42">
        <f t="shared" si="2"/>
        <v>92.5</v>
      </c>
    </row>
    <row r="43" spans="1:14" x14ac:dyDescent="0.25">
      <c r="A43" t="s">
        <v>93</v>
      </c>
      <c r="B43" s="4">
        <v>103</v>
      </c>
      <c r="C43">
        <v>93</v>
      </c>
      <c r="D43">
        <v>96</v>
      </c>
      <c r="E43" s="4">
        <v>109</v>
      </c>
      <c r="F43" s="5"/>
      <c r="G43" s="5"/>
      <c r="H43" s="5"/>
      <c r="I43" s="5"/>
      <c r="K43">
        <f t="shared" si="0"/>
        <v>100.25</v>
      </c>
      <c r="M43">
        <f t="shared" si="1"/>
        <v>100.25</v>
      </c>
      <c r="N43" s="5"/>
    </row>
    <row r="44" spans="1:14" x14ac:dyDescent="0.25">
      <c r="A44" t="s">
        <v>110</v>
      </c>
      <c r="B44" s="4">
        <v>248</v>
      </c>
      <c r="C44" s="4">
        <v>281</v>
      </c>
      <c r="D44">
        <v>222</v>
      </c>
      <c r="E44" s="4">
        <v>2772</v>
      </c>
      <c r="F44" s="4">
        <v>215</v>
      </c>
      <c r="G44" s="4">
        <v>223</v>
      </c>
      <c r="H44" s="4">
        <v>212</v>
      </c>
      <c r="I44" s="4">
        <v>203</v>
      </c>
      <c r="K44">
        <f t="shared" si="0"/>
        <v>547</v>
      </c>
      <c r="M44">
        <f t="shared" si="1"/>
        <v>880.75</v>
      </c>
      <c r="N44">
        <f t="shared" si="2"/>
        <v>213.25</v>
      </c>
    </row>
    <row r="45" spans="1:14" x14ac:dyDescent="0.25">
      <c r="A45" t="s">
        <v>120</v>
      </c>
      <c r="B45" s="4">
        <v>125</v>
      </c>
      <c r="C45" s="4">
        <v>115</v>
      </c>
      <c r="D45">
        <v>128</v>
      </c>
      <c r="E45" s="5"/>
      <c r="F45" s="4">
        <v>115</v>
      </c>
      <c r="G45">
        <v>113</v>
      </c>
      <c r="H45">
        <v>104</v>
      </c>
      <c r="I45">
        <v>108</v>
      </c>
      <c r="K45">
        <f>(AVERAGE(B45:I45))</f>
        <v>115.42857142857143</v>
      </c>
      <c r="M45">
        <f t="shared" si="1"/>
        <v>122.66666666666667</v>
      </c>
      <c r="N45">
        <f>AVERAGE(G45:I45)</f>
        <v>108.33333333333333</v>
      </c>
    </row>
    <row r="46" spans="1:14" x14ac:dyDescent="0.25">
      <c r="A46" t="s">
        <v>125</v>
      </c>
      <c r="B46" s="4">
        <v>98</v>
      </c>
      <c r="C46" s="5"/>
      <c r="D46" s="5"/>
      <c r="E46" s="5"/>
      <c r="F46" s="4">
        <v>112</v>
      </c>
      <c r="G46">
        <v>106</v>
      </c>
      <c r="H46">
        <v>103</v>
      </c>
      <c r="I46">
        <v>123</v>
      </c>
      <c r="K46">
        <f>(AVERAGE(B46:I46))</f>
        <v>108.4</v>
      </c>
      <c r="M46">
        <f t="shared" si="1"/>
        <v>98</v>
      </c>
      <c r="N46">
        <f>AVERAGE(G46:I46)</f>
        <v>110.66666666666667</v>
      </c>
    </row>
    <row r="47" spans="1:14" x14ac:dyDescent="0.25">
      <c r="A47" t="s">
        <v>130</v>
      </c>
      <c r="B47" s="5"/>
      <c r="C47" s="5"/>
      <c r="D47" s="5"/>
      <c r="E47" s="5"/>
      <c r="F47" s="5"/>
      <c r="G47">
        <v>112</v>
      </c>
      <c r="H47">
        <v>80</v>
      </c>
      <c r="I47">
        <v>84</v>
      </c>
      <c r="K47">
        <f t="shared" si="0"/>
        <v>92</v>
      </c>
      <c r="M47" s="5"/>
      <c r="N47">
        <f t="shared" si="2"/>
        <v>92</v>
      </c>
    </row>
    <row r="48" spans="1:14" x14ac:dyDescent="0.25">
      <c r="A48" t="s">
        <v>145</v>
      </c>
      <c r="B48" s="4">
        <v>170</v>
      </c>
      <c r="C48" s="4">
        <v>129</v>
      </c>
      <c r="D48">
        <v>104</v>
      </c>
      <c r="E48">
        <v>119</v>
      </c>
      <c r="F48" s="4">
        <v>119</v>
      </c>
      <c r="G48" s="4">
        <v>176</v>
      </c>
      <c r="H48" s="4">
        <v>79</v>
      </c>
      <c r="I48" s="4">
        <v>92</v>
      </c>
      <c r="K48">
        <f t="shared" si="0"/>
        <v>123.5</v>
      </c>
      <c r="M48">
        <f t="shared" si="1"/>
        <v>130.5</v>
      </c>
      <c r="N48">
        <f t="shared" si="2"/>
        <v>116.5</v>
      </c>
    </row>
    <row r="49" spans="1:15" x14ac:dyDescent="0.25">
      <c r="A49" t="s">
        <v>144</v>
      </c>
      <c r="B49" s="4">
        <v>100</v>
      </c>
      <c r="C49" s="5"/>
      <c r="D49" s="5"/>
      <c r="E49">
        <v>64</v>
      </c>
      <c r="F49" s="4">
        <v>123</v>
      </c>
      <c r="G49" s="4">
        <v>109</v>
      </c>
      <c r="H49" s="4">
        <v>85</v>
      </c>
      <c r="I49" s="5"/>
      <c r="K49">
        <f t="shared" si="0"/>
        <v>96.2</v>
      </c>
      <c r="M49">
        <f t="shared" si="1"/>
        <v>82</v>
      </c>
      <c r="N49">
        <f t="shared" si="2"/>
        <v>105.66666666666667</v>
      </c>
    </row>
    <row r="50" spans="1:15" x14ac:dyDescent="0.25">
      <c r="A50" t="s">
        <v>132</v>
      </c>
      <c r="B50" s="4">
        <v>86</v>
      </c>
      <c r="C50">
        <v>83</v>
      </c>
      <c r="D50">
        <v>59</v>
      </c>
      <c r="E50">
        <v>62</v>
      </c>
      <c r="F50" s="4">
        <v>98</v>
      </c>
      <c r="G50" s="4">
        <v>75</v>
      </c>
      <c r="H50" s="5"/>
      <c r="I50" s="5"/>
      <c r="K50">
        <f t="shared" si="0"/>
        <v>77.166666666666671</v>
      </c>
      <c r="M50">
        <f t="shared" si="1"/>
        <v>72.5</v>
      </c>
      <c r="N50">
        <f t="shared" si="2"/>
        <v>86.5</v>
      </c>
    </row>
    <row r="51" spans="1:15" x14ac:dyDescent="0.25">
      <c r="A51" t="s">
        <v>146</v>
      </c>
      <c r="B51" s="4">
        <v>248</v>
      </c>
      <c r="C51">
        <v>175</v>
      </c>
      <c r="D51">
        <v>133</v>
      </c>
      <c r="E51">
        <v>146</v>
      </c>
      <c r="F51" s="4">
        <v>140</v>
      </c>
      <c r="G51" s="4">
        <v>184</v>
      </c>
      <c r="H51" s="4">
        <v>197</v>
      </c>
      <c r="I51" s="4">
        <v>193</v>
      </c>
      <c r="K51">
        <f t="shared" si="0"/>
        <v>177</v>
      </c>
      <c r="M51">
        <f t="shared" si="1"/>
        <v>175.5</v>
      </c>
      <c r="N51">
        <f t="shared" si="2"/>
        <v>178.5</v>
      </c>
    </row>
    <row r="52" spans="1:15" x14ac:dyDescent="0.25">
      <c r="A52" t="s">
        <v>147</v>
      </c>
      <c r="B52" s="4">
        <v>134</v>
      </c>
      <c r="C52">
        <v>84</v>
      </c>
      <c r="D52">
        <v>97</v>
      </c>
      <c r="E52">
        <v>118</v>
      </c>
      <c r="F52" s="4">
        <v>92</v>
      </c>
      <c r="G52" s="4">
        <v>90</v>
      </c>
      <c r="H52" s="5"/>
      <c r="I52" s="5"/>
      <c r="K52">
        <f t="shared" si="0"/>
        <v>102.5</v>
      </c>
      <c r="M52">
        <f t="shared" si="1"/>
        <v>108.25</v>
      </c>
      <c r="N52">
        <f t="shared" si="2"/>
        <v>91</v>
      </c>
    </row>
    <row r="53" spans="1:15" x14ac:dyDescent="0.25">
      <c r="A53" t="s">
        <v>155</v>
      </c>
      <c r="B53" s="4">
        <v>118</v>
      </c>
      <c r="C53" s="5"/>
      <c r="D53">
        <v>117</v>
      </c>
      <c r="E53" s="5"/>
      <c r="F53" s="4">
        <v>147</v>
      </c>
      <c r="G53" s="4">
        <v>96</v>
      </c>
      <c r="H53" s="5"/>
      <c r="I53" s="4">
        <v>167</v>
      </c>
      <c r="K53">
        <f t="shared" si="0"/>
        <v>129</v>
      </c>
      <c r="M53">
        <f t="shared" si="1"/>
        <v>117.5</v>
      </c>
      <c r="N53">
        <f t="shared" si="2"/>
        <v>136.66666666666666</v>
      </c>
    </row>
    <row r="54" spans="1:15" x14ac:dyDescent="0.25">
      <c r="A54" t="s">
        <v>158</v>
      </c>
      <c r="B54" s="4">
        <v>130</v>
      </c>
      <c r="C54">
        <v>97</v>
      </c>
      <c r="D54">
        <v>104</v>
      </c>
      <c r="E54">
        <v>106</v>
      </c>
      <c r="F54" s="4">
        <v>163</v>
      </c>
      <c r="G54" s="5"/>
      <c r="H54" s="4">
        <v>96</v>
      </c>
      <c r="I54" s="4">
        <v>96</v>
      </c>
      <c r="K54">
        <f t="shared" si="0"/>
        <v>113.14285714285714</v>
      </c>
      <c r="M54">
        <f>AVERAGE(B54:E54)</f>
        <v>109.25</v>
      </c>
      <c r="N54">
        <f>AVERAGE(F54:I54)</f>
        <v>118.33333333333333</v>
      </c>
    </row>
    <row r="55" spans="1:15" x14ac:dyDescent="0.25">
      <c r="A55" t="s">
        <v>162</v>
      </c>
      <c r="B55" s="4">
        <v>113</v>
      </c>
      <c r="C55">
        <v>62</v>
      </c>
      <c r="D55">
        <v>56</v>
      </c>
      <c r="E55">
        <v>112</v>
      </c>
      <c r="F55" s="4">
        <v>66</v>
      </c>
      <c r="G55" s="4">
        <v>76</v>
      </c>
      <c r="H55" s="4">
        <v>128</v>
      </c>
      <c r="I55" s="4">
        <v>97</v>
      </c>
      <c r="K55">
        <f t="shared" si="0"/>
        <v>88.75</v>
      </c>
      <c r="M55">
        <f t="shared" si="1"/>
        <v>85.75</v>
      </c>
      <c r="N55">
        <f t="shared" si="2"/>
        <v>91.75</v>
      </c>
    </row>
    <row r="56" spans="1:15" x14ac:dyDescent="0.25">
      <c r="A56" t="s">
        <v>160</v>
      </c>
      <c r="B56" s="4">
        <v>243</v>
      </c>
      <c r="C56">
        <v>190</v>
      </c>
      <c r="D56">
        <v>230</v>
      </c>
      <c r="E56">
        <v>238</v>
      </c>
      <c r="F56" s="5"/>
      <c r="G56" s="4">
        <v>248</v>
      </c>
      <c r="H56" s="4">
        <v>263</v>
      </c>
      <c r="I56" s="5"/>
      <c r="K56">
        <f t="shared" ref="K56:K61" si="3">(AVERAGE(B56:I56))</f>
        <v>235.33333333333334</v>
      </c>
      <c r="M56">
        <f t="shared" ref="M56:M61" si="4">AVERAGE(B56:E56)</f>
        <v>225.25</v>
      </c>
      <c r="N56">
        <f t="shared" ref="N56:N61" si="5">AVERAGE(F56:I56)</f>
        <v>255.5</v>
      </c>
    </row>
    <row r="57" spans="1:15" x14ac:dyDescent="0.25">
      <c r="A57" t="s">
        <v>173</v>
      </c>
      <c r="B57" s="4">
        <v>55</v>
      </c>
      <c r="C57">
        <v>80</v>
      </c>
      <c r="D57">
        <v>70</v>
      </c>
      <c r="E57">
        <v>52</v>
      </c>
      <c r="F57" s="4">
        <v>83</v>
      </c>
      <c r="G57" s="4">
        <v>93</v>
      </c>
      <c r="H57" s="4">
        <v>96</v>
      </c>
      <c r="I57" s="5"/>
      <c r="K57">
        <f t="shared" si="3"/>
        <v>75.571428571428569</v>
      </c>
      <c r="M57">
        <f t="shared" si="4"/>
        <v>64.25</v>
      </c>
      <c r="N57">
        <f t="shared" si="5"/>
        <v>90.666666666666671</v>
      </c>
    </row>
    <row r="58" spans="1:15" x14ac:dyDescent="0.25">
      <c r="A58" t="s">
        <v>174</v>
      </c>
      <c r="B58" s="4">
        <v>130</v>
      </c>
      <c r="C58">
        <v>157</v>
      </c>
      <c r="D58">
        <v>151</v>
      </c>
      <c r="E58">
        <v>104</v>
      </c>
      <c r="F58" s="5"/>
      <c r="G58" s="5"/>
      <c r="H58" s="5"/>
      <c r="I58" s="5"/>
      <c r="K58">
        <f t="shared" si="3"/>
        <v>135.5</v>
      </c>
      <c r="M58">
        <f t="shared" si="4"/>
        <v>135.5</v>
      </c>
      <c r="N58" s="5"/>
      <c r="O58" s="5" t="s">
        <v>248</v>
      </c>
    </row>
    <row r="59" spans="1:15" x14ac:dyDescent="0.25">
      <c r="A59" t="s">
        <v>175</v>
      </c>
      <c r="B59" s="4">
        <v>186</v>
      </c>
      <c r="C59">
        <v>137</v>
      </c>
      <c r="D59">
        <v>138</v>
      </c>
      <c r="E59">
        <v>201</v>
      </c>
      <c r="F59" s="4">
        <v>165</v>
      </c>
      <c r="G59" s="4">
        <v>125</v>
      </c>
      <c r="H59" s="4">
        <v>142</v>
      </c>
      <c r="I59" s="4">
        <v>138</v>
      </c>
      <c r="K59">
        <f t="shared" si="3"/>
        <v>154</v>
      </c>
      <c r="M59">
        <f t="shared" si="4"/>
        <v>165.5</v>
      </c>
      <c r="N59">
        <f t="shared" si="5"/>
        <v>142.5</v>
      </c>
    </row>
    <row r="60" spans="1:15" x14ac:dyDescent="0.25">
      <c r="A60" t="s">
        <v>187</v>
      </c>
      <c r="B60" s="5"/>
      <c r="C60" s="5"/>
      <c r="D60" s="5"/>
      <c r="E60">
        <v>67</v>
      </c>
      <c r="F60" s="4">
        <v>61</v>
      </c>
      <c r="G60" s="4">
        <v>62</v>
      </c>
      <c r="H60" s="4">
        <v>85</v>
      </c>
      <c r="I60" s="4">
        <v>83</v>
      </c>
      <c r="K60">
        <f t="shared" si="3"/>
        <v>71.599999999999994</v>
      </c>
      <c r="M60">
        <f t="shared" si="4"/>
        <v>67</v>
      </c>
      <c r="N60">
        <f t="shared" si="5"/>
        <v>72.75</v>
      </c>
    </row>
    <row r="61" spans="1:15" x14ac:dyDescent="0.25">
      <c r="A61" t="s">
        <v>186</v>
      </c>
      <c r="B61" s="5"/>
      <c r="C61" s="5"/>
      <c r="D61">
        <v>99</v>
      </c>
      <c r="E61" s="5"/>
      <c r="F61" s="4">
        <v>109</v>
      </c>
      <c r="G61" s="5"/>
      <c r="H61" s="4">
        <v>149</v>
      </c>
      <c r="I61" s="4">
        <v>129</v>
      </c>
      <c r="K61">
        <f t="shared" si="3"/>
        <v>121.5</v>
      </c>
      <c r="M61">
        <f t="shared" si="4"/>
        <v>99</v>
      </c>
      <c r="N61">
        <f t="shared" si="5"/>
        <v>129</v>
      </c>
    </row>
    <row r="63" spans="1:15" x14ac:dyDescent="0.25">
      <c r="J63" s="25"/>
      <c r="K63" s="37"/>
      <c r="L63" s="37"/>
      <c r="M63" s="37"/>
      <c r="N63" s="37"/>
    </row>
    <row r="65" spans="10:14" x14ac:dyDescent="0.25">
      <c r="J65" s="25"/>
      <c r="K65" s="12"/>
      <c r="L65" s="12"/>
      <c r="M65" s="12"/>
      <c r="N65" s="12"/>
    </row>
    <row r="66" spans="10:14" x14ac:dyDescent="0.25">
      <c r="J66" s="25"/>
      <c r="K66" s="12"/>
      <c r="L66" s="12"/>
      <c r="M66" s="12"/>
      <c r="N66" s="12"/>
    </row>
    <row r="67" spans="10:14" x14ac:dyDescent="0.25">
      <c r="K67" s="12"/>
      <c r="L67" s="12"/>
      <c r="M67" s="12"/>
      <c r="N67" s="12"/>
    </row>
    <row r="68" spans="10:14" x14ac:dyDescent="0.25">
      <c r="J68" s="25"/>
      <c r="K68" s="12"/>
      <c r="L68" s="12"/>
      <c r="M68" s="12"/>
      <c r="N68" s="12"/>
    </row>
    <row r="69" spans="10:14" x14ac:dyDescent="0.25">
      <c r="J69" s="25"/>
      <c r="K69" s="12"/>
      <c r="L69" s="12"/>
      <c r="M69" s="12"/>
      <c r="N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A69"/>
  <sheetViews>
    <sheetView zoomScale="55" zoomScaleNormal="55" workbookViewId="0">
      <selection activeCell="P43" sqref="P43"/>
    </sheetView>
  </sheetViews>
  <sheetFormatPr defaultRowHeight="15" x14ac:dyDescent="0.25"/>
  <cols>
    <col min="17" max="20" width="9.140625" style="20"/>
    <col min="21" max="22" width="9.140625" style="21"/>
    <col min="23" max="27" width="9.140625" style="20"/>
  </cols>
  <sheetData>
    <row r="1" spans="1:21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U1" s="29"/>
    </row>
    <row r="2" spans="1:21" x14ac:dyDescent="0.25">
      <c r="A2" s="4" t="s">
        <v>3</v>
      </c>
      <c r="B2">
        <v>287</v>
      </c>
      <c r="C2">
        <v>207</v>
      </c>
      <c r="D2">
        <v>376</v>
      </c>
      <c r="E2">
        <v>555</v>
      </c>
      <c r="F2">
        <v>254</v>
      </c>
      <c r="G2">
        <v>206</v>
      </c>
      <c r="H2">
        <v>347</v>
      </c>
      <c r="I2">
        <v>192</v>
      </c>
      <c r="K2">
        <f>(AVERAGE(B2:I2))</f>
        <v>303</v>
      </c>
      <c r="M2">
        <f>AVERAGE(B2:E2)</f>
        <v>356.25</v>
      </c>
      <c r="N2">
        <f>AVERAGE(F2:I2)</f>
        <v>249.75</v>
      </c>
      <c r="R2" s="5"/>
      <c r="S2" t="s">
        <v>247</v>
      </c>
    </row>
    <row r="3" spans="1:21" x14ac:dyDescent="0.25">
      <c r="A3" s="4" t="s">
        <v>13</v>
      </c>
      <c r="B3" s="4">
        <v>400</v>
      </c>
      <c r="C3" s="4">
        <v>247</v>
      </c>
      <c r="D3" s="4">
        <v>297</v>
      </c>
      <c r="E3" s="4">
        <v>115</v>
      </c>
      <c r="F3" s="4">
        <v>198</v>
      </c>
      <c r="G3" s="4">
        <v>414</v>
      </c>
      <c r="H3" s="4">
        <v>138</v>
      </c>
      <c r="I3" s="4">
        <v>294</v>
      </c>
      <c r="K3">
        <f t="shared" ref="K3:K55" si="0">(AVERAGE(B3:I3))</f>
        <v>262.875</v>
      </c>
      <c r="M3">
        <f t="shared" ref="M3:M55" si="1">AVERAGE(B3:E3)</f>
        <v>264.75</v>
      </c>
      <c r="N3">
        <f t="shared" ref="N3:N55" si="2">AVERAGE(F3:I3)</f>
        <v>261</v>
      </c>
    </row>
    <row r="4" spans="1:21" x14ac:dyDescent="0.25">
      <c r="A4" s="4" t="s">
        <v>68</v>
      </c>
      <c r="B4" s="4">
        <v>351</v>
      </c>
      <c r="C4" s="5"/>
      <c r="D4" s="5"/>
      <c r="E4" s="5"/>
      <c r="F4" s="4">
        <v>268</v>
      </c>
      <c r="G4" s="5"/>
      <c r="H4" s="4">
        <v>161</v>
      </c>
      <c r="I4" s="4">
        <v>194</v>
      </c>
      <c r="K4">
        <f t="shared" si="0"/>
        <v>243.5</v>
      </c>
      <c r="M4">
        <f t="shared" si="1"/>
        <v>351</v>
      </c>
      <c r="N4">
        <f t="shared" si="2"/>
        <v>207.66666666666666</v>
      </c>
    </row>
    <row r="5" spans="1:21" x14ac:dyDescent="0.25">
      <c r="A5" s="4" t="s">
        <v>69</v>
      </c>
      <c r="B5" s="4">
        <v>270</v>
      </c>
      <c r="C5" s="4">
        <v>359</v>
      </c>
      <c r="D5" s="4">
        <v>296</v>
      </c>
      <c r="E5" s="4">
        <v>251</v>
      </c>
      <c r="F5" s="5"/>
      <c r="G5" s="5"/>
      <c r="H5" s="5"/>
      <c r="I5" s="5"/>
      <c r="K5">
        <f t="shared" si="0"/>
        <v>294</v>
      </c>
      <c r="M5">
        <f t="shared" si="1"/>
        <v>294</v>
      </c>
      <c r="N5" s="5"/>
    </row>
    <row r="6" spans="1:21" x14ac:dyDescent="0.25">
      <c r="A6" s="4" t="s">
        <v>70</v>
      </c>
      <c r="B6" s="4">
        <v>370</v>
      </c>
      <c r="C6" s="4">
        <v>433</v>
      </c>
      <c r="D6" s="4">
        <v>259</v>
      </c>
      <c r="E6" s="4">
        <v>204</v>
      </c>
      <c r="F6" s="4">
        <v>268</v>
      </c>
      <c r="G6" s="4">
        <v>392</v>
      </c>
      <c r="H6" s="4">
        <v>425</v>
      </c>
      <c r="I6" s="4">
        <v>202</v>
      </c>
      <c r="K6">
        <f t="shared" si="0"/>
        <v>319.125</v>
      </c>
      <c r="M6">
        <f t="shared" si="1"/>
        <v>316.5</v>
      </c>
      <c r="N6">
        <f t="shared" si="2"/>
        <v>321.75</v>
      </c>
    </row>
    <row r="7" spans="1:21" x14ac:dyDescent="0.25">
      <c r="A7" s="4" t="s">
        <v>74</v>
      </c>
      <c r="B7" s="5"/>
      <c r="C7" s="4">
        <v>302</v>
      </c>
      <c r="D7" s="4">
        <v>213</v>
      </c>
      <c r="E7" s="5"/>
      <c r="F7" s="4">
        <v>216</v>
      </c>
      <c r="G7" s="4">
        <v>197</v>
      </c>
      <c r="H7" s="4">
        <v>324</v>
      </c>
      <c r="I7" s="4">
        <v>319</v>
      </c>
      <c r="K7">
        <f t="shared" si="0"/>
        <v>261.83333333333331</v>
      </c>
      <c r="M7">
        <f t="shared" si="1"/>
        <v>257.5</v>
      </c>
      <c r="N7">
        <f t="shared" si="2"/>
        <v>264</v>
      </c>
    </row>
    <row r="8" spans="1:21" x14ac:dyDescent="0.25">
      <c r="A8" s="4" t="s">
        <v>79</v>
      </c>
      <c r="B8" s="4">
        <v>160</v>
      </c>
      <c r="C8" s="4">
        <v>170</v>
      </c>
      <c r="D8" s="4">
        <v>147</v>
      </c>
      <c r="E8" s="4">
        <v>182</v>
      </c>
      <c r="F8" s="4">
        <v>155</v>
      </c>
      <c r="G8" s="4">
        <v>125</v>
      </c>
      <c r="H8" s="4">
        <v>134</v>
      </c>
      <c r="I8" s="4">
        <v>99</v>
      </c>
      <c r="K8">
        <f t="shared" si="0"/>
        <v>146.5</v>
      </c>
      <c r="M8">
        <f t="shared" si="1"/>
        <v>164.75</v>
      </c>
      <c r="N8">
        <f t="shared" si="2"/>
        <v>128.25</v>
      </c>
    </row>
    <row r="9" spans="1:21" x14ac:dyDescent="0.25">
      <c r="A9" s="4" t="s">
        <v>80</v>
      </c>
      <c r="B9" s="4">
        <v>260</v>
      </c>
      <c r="C9" s="4">
        <v>326</v>
      </c>
      <c r="D9" s="4">
        <v>304</v>
      </c>
      <c r="E9" s="4">
        <v>530</v>
      </c>
      <c r="F9" s="5"/>
      <c r="G9" s="5"/>
      <c r="H9" s="4">
        <v>387</v>
      </c>
      <c r="I9" s="4">
        <v>373</v>
      </c>
      <c r="K9">
        <f t="shared" si="0"/>
        <v>363.33333333333331</v>
      </c>
      <c r="M9">
        <f t="shared" si="1"/>
        <v>355</v>
      </c>
      <c r="N9">
        <f t="shared" si="2"/>
        <v>380</v>
      </c>
    </row>
    <row r="10" spans="1:21" x14ac:dyDescent="0.25">
      <c r="A10" s="4" t="s">
        <v>86</v>
      </c>
      <c r="B10" s="4">
        <v>154</v>
      </c>
      <c r="C10" s="4">
        <v>188</v>
      </c>
      <c r="D10" s="4">
        <v>167</v>
      </c>
      <c r="E10" s="4">
        <v>167</v>
      </c>
      <c r="F10" s="4">
        <v>140</v>
      </c>
      <c r="G10" s="4">
        <v>101</v>
      </c>
      <c r="H10" s="5"/>
      <c r="I10" s="4">
        <v>141</v>
      </c>
      <c r="K10">
        <f t="shared" si="0"/>
        <v>151.14285714285714</v>
      </c>
      <c r="M10">
        <f t="shared" si="1"/>
        <v>169</v>
      </c>
      <c r="N10">
        <f t="shared" si="2"/>
        <v>127.33333333333333</v>
      </c>
    </row>
    <row r="11" spans="1:21" x14ac:dyDescent="0.25">
      <c r="A11" s="4" t="s">
        <v>92</v>
      </c>
      <c r="B11" s="5"/>
      <c r="C11" s="4">
        <v>289</v>
      </c>
      <c r="D11" s="5"/>
      <c r="E11" s="4">
        <v>87</v>
      </c>
      <c r="F11" s="5"/>
      <c r="G11" s="5"/>
      <c r="H11" s="5"/>
      <c r="I11" s="5"/>
      <c r="K11">
        <f t="shared" si="0"/>
        <v>188</v>
      </c>
      <c r="M11">
        <f t="shared" si="1"/>
        <v>188</v>
      </c>
      <c r="N11" s="5"/>
    </row>
    <row r="12" spans="1:21" x14ac:dyDescent="0.25">
      <c r="A12" s="4" t="s">
        <v>93</v>
      </c>
      <c r="B12" s="4">
        <v>161</v>
      </c>
      <c r="C12" s="4">
        <v>155</v>
      </c>
      <c r="D12" s="4">
        <v>174</v>
      </c>
      <c r="E12" s="4">
        <v>238</v>
      </c>
      <c r="F12" s="5"/>
      <c r="G12" s="5"/>
      <c r="H12" s="5"/>
      <c r="I12" s="5"/>
      <c r="K12">
        <f t="shared" si="0"/>
        <v>182</v>
      </c>
      <c r="M12">
        <f t="shared" si="1"/>
        <v>182</v>
      </c>
      <c r="N12" s="5"/>
    </row>
    <row r="13" spans="1:21" x14ac:dyDescent="0.25">
      <c r="A13" s="4" t="s">
        <v>110</v>
      </c>
      <c r="B13" s="4">
        <v>246</v>
      </c>
      <c r="C13" s="4">
        <v>329</v>
      </c>
      <c r="D13" s="4">
        <v>226</v>
      </c>
      <c r="E13" s="4">
        <v>191</v>
      </c>
      <c r="F13" s="4">
        <v>207</v>
      </c>
      <c r="G13" s="4">
        <v>213</v>
      </c>
      <c r="H13" s="4">
        <v>160</v>
      </c>
      <c r="I13" s="4">
        <v>250</v>
      </c>
      <c r="K13">
        <f t="shared" si="0"/>
        <v>227.75</v>
      </c>
      <c r="M13">
        <f t="shared" si="1"/>
        <v>248</v>
      </c>
      <c r="N13">
        <f t="shared" si="2"/>
        <v>207.5</v>
      </c>
    </row>
    <row r="14" spans="1:21" x14ac:dyDescent="0.25">
      <c r="A14" s="4" t="s">
        <v>120</v>
      </c>
      <c r="B14" s="4">
        <v>193</v>
      </c>
      <c r="C14" s="5"/>
      <c r="D14" s="4">
        <v>360</v>
      </c>
      <c r="E14" s="5"/>
      <c r="F14">
        <v>589</v>
      </c>
      <c r="G14" s="4">
        <v>849</v>
      </c>
      <c r="H14" s="4">
        <v>557</v>
      </c>
      <c r="I14" s="4">
        <v>698</v>
      </c>
      <c r="K14">
        <f t="shared" si="0"/>
        <v>541</v>
      </c>
      <c r="M14">
        <f t="shared" si="1"/>
        <v>276.5</v>
      </c>
      <c r="N14">
        <f t="shared" si="2"/>
        <v>673.25</v>
      </c>
    </row>
    <row r="15" spans="1:21" x14ac:dyDescent="0.25">
      <c r="A15" s="4" t="s">
        <v>125</v>
      </c>
      <c r="B15" s="4">
        <v>129</v>
      </c>
      <c r="C15" s="4">
        <v>27</v>
      </c>
      <c r="D15" s="4">
        <v>137</v>
      </c>
      <c r="E15" s="4">
        <v>22</v>
      </c>
      <c r="F15" s="5"/>
      <c r="G15" s="4">
        <v>37</v>
      </c>
      <c r="H15" s="4">
        <v>55</v>
      </c>
      <c r="I15" s="4">
        <v>52</v>
      </c>
      <c r="K15">
        <f t="shared" si="0"/>
        <v>65.571428571428569</v>
      </c>
      <c r="M15">
        <f>AVERAGE(B15:E15)</f>
        <v>78.75</v>
      </c>
      <c r="N15">
        <f t="shared" si="2"/>
        <v>48</v>
      </c>
    </row>
    <row r="16" spans="1:21" x14ac:dyDescent="0.25">
      <c r="A16" t="s">
        <v>130</v>
      </c>
      <c r="B16" s="5"/>
      <c r="C16" s="5"/>
      <c r="D16" s="5"/>
      <c r="E16" s="5"/>
      <c r="F16">
        <v>487</v>
      </c>
      <c r="G16" s="4">
        <v>285</v>
      </c>
      <c r="H16" s="4">
        <v>183</v>
      </c>
      <c r="I16" s="4">
        <v>263</v>
      </c>
      <c r="K16">
        <f t="shared" si="0"/>
        <v>304.5</v>
      </c>
      <c r="M16" s="5"/>
      <c r="N16">
        <f t="shared" si="2"/>
        <v>304.5</v>
      </c>
    </row>
    <row r="17" spans="1:27" x14ac:dyDescent="0.25">
      <c r="A17" t="s">
        <v>145</v>
      </c>
      <c r="B17" s="4">
        <v>284</v>
      </c>
      <c r="C17" s="4">
        <v>234</v>
      </c>
      <c r="D17" s="4">
        <v>264</v>
      </c>
      <c r="E17" s="5"/>
      <c r="F17" s="5"/>
      <c r="G17" s="4">
        <v>156</v>
      </c>
      <c r="H17" s="4">
        <v>202</v>
      </c>
      <c r="I17" s="4">
        <v>331</v>
      </c>
      <c r="K17">
        <f t="shared" si="0"/>
        <v>245.16666666666666</v>
      </c>
      <c r="M17">
        <f t="shared" si="1"/>
        <v>260.66666666666669</v>
      </c>
      <c r="N17">
        <f t="shared" si="2"/>
        <v>229.66666666666666</v>
      </c>
    </row>
    <row r="18" spans="1:27" x14ac:dyDescent="0.25">
      <c r="A18" t="s">
        <v>144</v>
      </c>
      <c r="B18" s="4">
        <v>205</v>
      </c>
      <c r="C18" s="4">
        <v>135</v>
      </c>
      <c r="D18" s="4">
        <v>170</v>
      </c>
      <c r="E18" s="4">
        <v>205</v>
      </c>
      <c r="F18" s="4">
        <v>230</v>
      </c>
      <c r="G18" s="4">
        <v>207</v>
      </c>
      <c r="H18" s="5"/>
      <c r="I18" s="4">
        <v>262</v>
      </c>
      <c r="K18">
        <f t="shared" si="0"/>
        <v>202</v>
      </c>
      <c r="M18">
        <f t="shared" si="1"/>
        <v>178.75</v>
      </c>
      <c r="N18">
        <f t="shared" si="2"/>
        <v>233</v>
      </c>
    </row>
    <row r="19" spans="1:27" x14ac:dyDescent="0.25">
      <c r="A19" t="s">
        <v>132</v>
      </c>
      <c r="B19" s="4">
        <v>233</v>
      </c>
      <c r="C19" s="4">
        <v>177</v>
      </c>
      <c r="D19" s="4">
        <v>267</v>
      </c>
      <c r="E19" s="4">
        <v>158</v>
      </c>
      <c r="F19" s="4">
        <v>184</v>
      </c>
      <c r="G19" s="4">
        <v>218</v>
      </c>
      <c r="H19" s="4">
        <v>160</v>
      </c>
      <c r="I19" s="4">
        <v>132</v>
      </c>
      <c r="K19">
        <f t="shared" si="0"/>
        <v>191.125</v>
      </c>
      <c r="M19">
        <f t="shared" si="1"/>
        <v>208.75</v>
      </c>
      <c r="N19">
        <f t="shared" si="2"/>
        <v>173.5</v>
      </c>
    </row>
    <row r="20" spans="1:27" x14ac:dyDescent="0.25">
      <c r="A20" t="s">
        <v>146</v>
      </c>
      <c r="B20" s="4">
        <v>156</v>
      </c>
      <c r="C20" s="4">
        <v>127</v>
      </c>
      <c r="D20" s="4">
        <v>164</v>
      </c>
      <c r="E20" s="4">
        <v>221</v>
      </c>
      <c r="F20" s="4">
        <v>189</v>
      </c>
      <c r="G20" s="4">
        <v>125</v>
      </c>
      <c r="H20" s="4">
        <v>231</v>
      </c>
      <c r="I20" s="4">
        <v>359</v>
      </c>
      <c r="K20">
        <f t="shared" si="0"/>
        <v>196.5</v>
      </c>
      <c r="M20">
        <f t="shared" si="1"/>
        <v>167</v>
      </c>
      <c r="N20">
        <f t="shared" si="2"/>
        <v>226</v>
      </c>
    </row>
    <row r="21" spans="1:27" x14ac:dyDescent="0.25">
      <c r="A21" t="s">
        <v>147</v>
      </c>
      <c r="B21" s="4">
        <v>181</v>
      </c>
      <c r="C21" s="4">
        <v>162</v>
      </c>
      <c r="D21" s="4">
        <v>208</v>
      </c>
      <c r="E21" s="4">
        <v>91</v>
      </c>
      <c r="F21" s="4">
        <v>149</v>
      </c>
      <c r="G21" s="4">
        <v>312</v>
      </c>
      <c r="H21" s="4">
        <v>213</v>
      </c>
      <c r="I21" s="4">
        <v>131</v>
      </c>
      <c r="K21">
        <f t="shared" si="0"/>
        <v>180.875</v>
      </c>
      <c r="M21">
        <f t="shared" si="1"/>
        <v>160.5</v>
      </c>
      <c r="N21">
        <f t="shared" si="2"/>
        <v>201.25</v>
      </c>
    </row>
    <row r="22" spans="1:27" x14ac:dyDescent="0.25">
      <c r="A22" t="s">
        <v>155</v>
      </c>
      <c r="B22" s="4">
        <v>126</v>
      </c>
      <c r="C22" s="4">
        <v>63</v>
      </c>
      <c r="D22" s="4">
        <v>176</v>
      </c>
      <c r="E22" s="4">
        <v>229</v>
      </c>
      <c r="F22" s="4">
        <v>156</v>
      </c>
      <c r="G22" s="4">
        <v>193</v>
      </c>
      <c r="H22" s="4">
        <v>158</v>
      </c>
      <c r="I22" s="5"/>
      <c r="K22">
        <f t="shared" si="0"/>
        <v>157.28571428571428</v>
      </c>
      <c r="M22">
        <f t="shared" si="1"/>
        <v>148.5</v>
      </c>
      <c r="N22">
        <f t="shared" si="2"/>
        <v>169</v>
      </c>
    </row>
    <row r="23" spans="1:27" x14ac:dyDescent="0.25">
      <c r="A23" t="s">
        <v>158</v>
      </c>
      <c r="B23" s="4">
        <v>108</v>
      </c>
      <c r="C23" s="4">
        <v>104</v>
      </c>
      <c r="D23" s="4">
        <v>249</v>
      </c>
      <c r="E23" s="4">
        <v>177</v>
      </c>
      <c r="F23" s="5"/>
      <c r="G23" s="4">
        <v>292</v>
      </c>
      <c r="H23" s="4">
        <v>202</v>
      </c>
      <c r="I23" s="4">
        <v>326</v>
      </c>
      <c r="K23">
        <f t="shared" si="0"/>
        <v>208.28571428571428</v>
      </c>
      <c r="M23">
        <f t="shared" si="1"/>
        <v>159.5</v>
      </c>
      <c r="N23">
        <f t="shared" si="2"/>
        <v>273.33333333333331</v>
      </c>
    </row>
    <row r="24" spans="1:27" x14ac:dyDescent="0.25">
      <c r="A24" t="s">
        <v>162</v>
      </c>
      <c r="B24" s="4">
        <v>86</v>
      </c>
      <c r="C24" s="4">
        <v>122</v>
      </c>
      <c r="D24" s="5"/>
      <c r="E24" s="5"/>
      <c r="F24" s="4">
        <v>194</v>
      </c>
      <c r="G24" s="4">
        <v>217</v>
      </c>
      <c r="H24" s="4">
        <v>264</v>
      </c>
      <c r="I24" s="4">
        <v>237</v>
      </c>
      <c r="K24">
        <f t="shared" si="0"/>
        <v>186.66666666666666</v>
      </c>
      <c r="M24">
        <f t="shared" si="1"/>
        <v>104</v>
      </c>
      <c r="N24">
        <f t="shared" si="2"/>
        <v>228</v>
      </c>
    </row>
    <row r="25" spans="1:27" x14ac:dyDescent="0.25">
      <c r="A25" t="s">
        <v>160</v>
      </c>
      <c r="B25" s="4">
        <v>308</v>
      </c>
      <c r="C25" s="4">
        <v>297</v>
      </c>
      <c r="D25" s="4">
        <v>403</v>
      </c>
      <c r="E25" s="4">
        <v>369</v>
      </c>
      <c r="F25" s="5"/>
      <c r="G25" s="4">
        <v>236</v>
      </c>
      <c r="H25" s="4">
        <v>266</v>
      </c>
      <c r="I25" s="4">
        <v>386</v>
      </c>
      <c r="K25">
        <f t="shared" si="0"/>
        <v>323.57142857142856</v>
      </c>
      <c r="M25">
        <f t="shared" si="1"/>
        <v>344.25</v>
      </c>
      <c r="N25">
        <f t="shared" si="2"/>
        <v>296</v>
      </c>
    </row>
    <row r="26" spans="1:27" x14ac:dyDescent="0.25">
      <c r="A26" t="s">
        <v>173</v>
      </c>
      <c r="B26" s="4">
        <v>114</v>
      </c>
      <c r="C26" s="4">
        <v>147</v>
      </c>
      <c r="D26" s="4">
        <v>133</v>
      </c>
      <c r="E26" s="4">
        <v>301</v>
      </c>
      <c r="F26" s="5"/>
      <c r="G26" s="4">
        <v>248</v>
      </c>
      <c r="H26" s="5"/>
      <c r="I26" s="5"/>
      <c r="K26">
        <f t="shared" si="0"/>
        <v>188.6</v>
      </c>
      <c r="M26">
        <f t="shared" si="1"/>
        <v>173.75</v>
      </c>
      <c r="N26">
        <f t="shared" si="2"/>
        <v>248</v>
      </c>
    </row>
    <row r="27" spans="1:27" x14ac:dyDescent="0.25">
      <c r="A27" t="s">
        <v>174</v>
      </c>
      <c r="B27" s="4">
        <v>177</v>
      </c>
      <c r="C27" s="4">
        <v>180</v>
      </c>
      <c r="D27" s="4">
        <v>144</v>
      </c>
      <c r="E27" s="5"/>
      <c r="F27" s="4">
        <v>189</v>
      </c>
      <c r="G27" s="4">
        <v>471</v>
      </c>
      <c r="H27" s="5"/>
      <c r="I27" s="5"/>
      <c r="K27">
        <f t="shared" si="0"/>
        <v>232.2</v>
      </c>
      <c r="M27">
        <f t="shared" si="1"/>
        <v>167</v>
      </c>
      <c r="N27">
        <f t="shared" si="2"/>
        <v>330</v>
      </c>
    </row>
    <row r="28" spans="1:27" x14ac:dyDescent="0.25">
      <c r="A28" t="s">
        <v>175</v>
      </c>
      <c r="B28" s="4">
        <v>72</v>
      </c>
      <c r="C28" s="4">
        <v>53</v>
      </c>
      <c r="D28" s="4">
        <v>44</v>
      </c>
      <c r="E28" s="4">
        <v>31</v>
      </c>
      <c r="F28" s="4">
        <v>50</v>
      </c>
      <c r="G28" s="4">
        <v>54</v>
      </c>
      <c r="H28" s="4">
        <v>110</v>
      </c>
      <c r="I28" s="4">
        <v>169</v>
      </c>
      <c r="K28">
        <f t="shared" si="0"/>
        <v>72.875</v>
      </c>
      <c r="M28">
        <f t="shared" si="1"/>
        <v>50</v>
      </c>
      <c r="N28">
        <f t="shared" si="2"/>
        <v>95.75</v>
      </c>
    </row>
    <row r="29" spans="1:27" x14ac:dyDescent="0.25">
      <c r="A29" t="s">
        <v>187</v>
      </c>
      <c r="B29" s="4">
        <v>222</v>
      </c>
      <c r="C29" s="4">
        <v>234</v>
      </c>
      <c r="D29" s="4">
        <v>405</v>
      </c>
      <c r="E29" s="4">
        <v>472</v>
      </c>
      <c r="F29" s="4">
        <v>194</v>
      </c>
      <c r="G29" s="4">
        <v>143</v>
      </c>
      <c r="H29" s="4">
        <v>469</v>
      </c>
      <c r="I29" s="4">
        <v>446</v>
      </c>
      <c r="K29">
        <f t="shared" si="0"/>
        <v>323.125</v>
      </c>
      <c r="M29">
        <f t="shared" si="1"/>
        <v>333.25</v>
      </c>
      <c r="N29">
        <f t="shared" si="2"/>
        <v>313</v>
      </c>
    </row>
    <row r="30" spans="1:27" x14ac:dyDescent="0.25">
      <c r="A30" t="s">
        <v>186</v>
      </c>
      <c r="B30">
        <v>261</v>
      </c>
      <c r="C30">
        <v>296</v>
      </c>
      <c r="D30">
        <v>450</v>
      </c>
      <c r="E30">
        <v>673</v>
      </c>
      <c r="F30">
        <v>252</v>
      </c>
      <c r="G30">
        <v>161</v>
      </c>
      <c r="H30" s="5"/>
      <c r="I30">
        <v>223</v>
      </c>
      <c r="K30">
        <f t="shared" si="0"/>
        <v>330.85714285714283</v>
      </c>
      <c r="M30">
        <f t="shared" si="1"/>
        <v>420</v>
      </c>
      <c r="N30">
        <f t="shared" si="2"/>
        <v>212</v>
      </c>
    </row>
    <row r="31" spans="1:27" x14ac:dyDescent="0.25">
      <c r="H31" s="4"/>
    </row>
    <row r="32" spans="1:27" s="25" customFormat="1" x14ac:dyDescent="0.25">
      <c r="A32" s="34" t="s">
        <v>1</v>
      </c>
      <c r="Q32" s="32"/>
      <c r="R32" s="32"/>
      <c r="S32" s="32"/>
      <c r="T32" s="32"/>
      <c r="U32" s="33"/>
      <c r="V32" s="33"/>
      <c r="W32" s="32"/>
      <c r="X32" s="32"/>
      <c r="Y32" s="32"/>
      <c r="Z32" s="32"/>
      <c r="AA32" s="32"/>
    </row>
    <row r="33" spans="1:14" x14ac:dyDescent="0.25">
      <c r="A33" s="4" t="s">
        <v>3</v>
      </c>
      <c r="B33" s="4">
        <v>237</v>
      </c>
      <c r="C33" s="4">
        <v>220</v>
      </c>
      <c r="D33" s="4">
        <v>235</v>
      </c>
      <c r="E33" s="4">
        <v>180</v>
      </c>
      <c r="F33" s="4">
        <v>238</v>
      </c>
      <c r="G33" s="4">
        <v>234</v>
      </c>
      <c r="H33" s="4">
        <v>370</v>
      </c>
      <c r="I33" s="4">
        <v>213</v>
      </c>
      <c r="K33">
        <f t="shared" si="0"/>
        <v>240.875</v>
      </c>
      <c r="M33">
        <f t="shared" si="1"/>
        <v>218</v>
      </c>
      <c r="N33">
        <f t="shared" si="2"/>
        <v>263.75</v>
      </c>
    </row>
    <row r="34" spans="1:14" x14ac:dyDescent="0.25">
      <c r="A34" s="4" t="s">
        <v>13</v>
      </c>
      <c r="B34" s="4">
        <v>331</v>
      </c>
      <c r="C34" s="5"/>
      <c r="D34" s="4">
        <v>328</v>
      </c>
      <c r="E34" s="5"/>
      <c r="F34" s="4">
        <v>250</v>
      </c>
      <c r="G34" s="4">
        <v>166</v>
      </c>
      <c r="H34" s="4">
        <v>260</v>
      </c>
      <c r="I34" s="4">
        <v>284</v>
      </c>
      <c r="K34">
        <f>(AVERAGE(B34:I34))</f>
        <v>269.83333333333331</v>
      </c>
      <c r="M34">
        <f t="shared" si="1"/>
        <v>329.5</v>
      </c>
      <c r="N34">
        <f t="shared" si="2"/>
        <v>240</v>
      </c>
    </row>
    <row r="35" spans="1:14" x14ac:dyDescent="0.25">
      <c r="A35" s="4" t="s">
        <v>68</v>
      </c>
      <c r="B35" s="5"/>
      <c r="C35" s="4">
        <v>197</v>
      </c>
      <c r="D35" s="5"/>
      <c r="E35" s="5"/>
      <c r="F35" s="5"/>
      <c r="G35" s="5"/>
      <c r="H35" s="5"/>
      <c r="I35" s="5"/>
      <c r="K35">
        <f t="shared" si="0"/>
        <v>197</v>
      </c>
      <c r="M35">
        <f t="shared" si="1"/>
        <v>197</v>
      </c>
      <c r="N35" s="5"/>
    </row>
    <row r="36" spans="1:14" x14ac:dyDescent="0.25">
      <c r="A36" s="4" t="s">
        <v>69</v>
      </c>
      <c r="B36" s="5"/>
      <c r="C36" s="5"/>
      <c r="D36" s="5"/>
      <c r="E36" s="5"/>
      <c r="F36" s="4">
        <v>385</v>
      </c>
      <c r="G36" s="4">
        <v>369</v>
      </c>
      <c r="H36" s="4">
        <v>347</v>
      </c>
      <c r="I36" s="4">
        <v>341</v>
      </c>
      <c r="K36">
        <f t="shared" si="0"/>
        <v>360.5</v>
      </c>
      <c r="M36" s="5"/>
      <c r="N36">
        <f t="shared" si="2"/>
        <v>360.5</v>
      </c>
    </row>
    <row r="37" spans="1:14" x14ac:dyDescent="0.25">
      <c r="A37" s="4" t="s">
        <v>70</v>
      </c>
      <c r="B37">
        <v>390</v>
      </c>
      <c r="C37">
        <v>85</v>
      </c>
      <c r="D37">
        <v>186</v>
      </c>
      <c r="E37" s="5"/>
      <c r="F37" s="4">
        <v>168</v>
      </c>
      <c r="G37" s="4">
        <v>267</v>
      </c>
      <c r="H37" s="4">
        <v>79</v>
      </c>
      <c r="I37" s="4">
        <v>205</v>
      </c>
      <c r="K37">
        <f t="shared" si="0"/>
        <v>197.14285714285714</v>
      </c>
      <c r="M37">
        <f t="shared" si="1"/>
        <v>220.33333333333334</v>
      </c>
      <c r="N37">
        <f t="shared" si="2"/>
        <v>179.75</v>
      </c>
    </row>
    <row r="38" spans="1:14" x14ac:dyDescent="0.25">
      <c r="A38" s="4" t="s">
        <v>74</v>
      </c>
      <c r="B38" s="4">
        <v>204</v>
      </c>
      <c r="C38" s="5"/>
      <c r="D38" s="4">
        <v>189</v>
      </c>
      <c r="E38" s="4">
        <v>165</v>
      </c>
      <c r="F38" s="5"/>
      <c r="G38" s="4">
        <v>212</v>
      </c>
      <c r="H38" s="4">
        <v>386</v>
      </c>
      <c r="I38" s="4">
        <v>502</v>
      </c>
      <c r="K38">
        <f t="shared" si="0"/>
        <v>276.33333333333331</v>
      </c>
      <c r="M38">
        <f t="shared" si="1"/>
        <v>186</v>
      </c>
      <c r="N38">
        <f t="shared" si="2"/>
        <v>366.66666666666669</v>
      </c>
    </row>
    <row r="39" spans="1:14" x14ac:dyDescent="0.25">
      <c r="A39" s="4" t="s">
        <v>79</v>
      </c>
      <c r="B39" s="4">
        <v>116</v>
      </c>
      <c r="C39">
        <v>91</v>
      </c>
      <c r="D39" s="4">
        <v>147</v>
      </c>
      <c r="E39" s="4">
        <v>194</v>
      </c>
      <c r="F39" s="4">
        <v>101</v>
      </c>
      <c r="G39" s="4">
        <v>191</v>
      </c>
      <c r="H39" s="4">
        <v>127</v>
      </c>
      <c r="I39" s="5"/>
      <c r="K39">
        <f t="shared" si="0"/>
        <v>138.14285714285714</v>
      </c>
      <c r="M39">
        <f t="shared" si="1"/>
        <v>137</v>
      </c>
      <c r="N39">
        <f t="shared" si="2"/>
        <v>139.66666666666666</v>
      </c>
    </row>
    <row r="40" spans="1:14" x14ac:dyDescent="0.25">
      <c r="A40" s="4" t="s">
        <v>80</v>
      </c>
      <c r="B40" s="5"/>
      <c r="C40" s="5"/>
      <c r="D40" s="5"/>
      <c r="E40" s="5"/>
      <c r="F40" s="4">
        <v>372</v>
      </c>
      <c r="G40" s="5"/>
      <c r="H40" s="4">
        <v>211</v>
      </c>
      <c r="I40" s="5"/>
      <c r="K40">
        <f t="shared" si="0"/>
        <v>291.5</v>
      </c>
      <c r="M40" s="5"/>
      <c r="N40">
        <f t="shared" si="2"/>
        <v>291.5</v>
      </c>
    </row>
    <row r="41" spans="1:14" x14ac:dyDescent="0.25">
      <c r="A41" s="4" t="s">
        <v>86</v>
      </c>
      <c r="B41" s="4">
        <v>47</v>
      </c>
      <c r="C41" s="4">
        <v>78</v>
      </c>
      <c r="D41" s="5"/>
      <c r="E41" s="4">
        <v>106</v>
      </c>
      <c r="F41" s="5"/>
      <c r="G41" s="5"/>
      <c r="H41" s="5"/>
      <c r="I41" s="5"/>
      <c r="K41">
        <f t="shared" si="0"/>
        <v>77</v>
      </c>
      <c r="M41">
        <f t="shared" si="1"/>
        <v>77</v>
      </c>
      <c r="N41" s="5"/>
    </row>
    <row r="42" spans="1:14" x14ac:dyDescent="0.25">
      <c r="A42" s="4" t="s">
        <v>92</v>
      </c>
      <c r="B42" s="4">
        <v>267</v>
      </c>
      <c r="C42" s="5"/>
      <c r="D42" s="5"/>
      <c r="E42" s="4">
        <v>107</v>
      </c>
      <c r="F42" s="4">
        <v>123</v>
      </c>
      <c r="G42" s="5"/>
      <c r="H42" s="5"/>
      <c r="I42" s="4">
        <v>66</v>
      </c>
      <c r="K42">
        <f t="shared" si="0"/>
        <v>140.75</v>
      </c>
      <c r="M42">
        <f t="shared" si="1"/>
        <v>187</v>
      </c>
      <c r="N42">
        <f t="shared" si="2"/>
        <v>94.5</v>
      </c>
    </row>
    <row r="43" spans="1:14" x14ac:dyDescent="0.25">
      <c r="A43" s="4" t="s">
        <v>93</v>
      </c>
      <c r="B43" s="4">
        <v>127</v>
      </c>
      <c r="C43">
        <v>252</v>
      </c>
      <c r="D43">
        <v>259</v>
      </c>
      <c r="E43" s="4">
        <v>111</v>
      </c>
      <c r="F43" s="5"/>
      <c r="G43" s="5"/>
      <c r="H43" s="5"/>
      <c r="I43" s="5"/>
      <c r="K43">
        <f t="shared" si="0"/>
        <v>187.25</v>
      </c>
      <c r="M43">
        <f t="shared" si="1"/>
        <v>187.25</v>
      </c>
      <c r="N43" s="5"/>
    </row>
    <row r="44" spans="1:14" x14ac:dyDescent="0.25">
      <c r="A44" s="4" t="s">
        <v>110</v>
      </c>
      <c r="B44" s="4">
        <v>239</v>
      </c>
      <c r="C44" s="4">
        <v>185</v>
      </c>
      <c r="D44">
        <v>212</v>
      </c>
      <c r="E44" s="4">
        <v>226</v>
      </c>
      <c r="F44" s="4">
        <v>292</v>
      </c>
      <c r="G44">
        <v>223</v>
      </c>
      <c r="H44">
        <v>239</v>
      </c>
      <c r="I44">
        <v>371</v>
      </c>
      <c r="K44">
        <f t="shared" si="0"/>
        <v>248.375</v>
      </c>
      <c r="M44">
        <f t="shared" si="1"/>
        <v>215.5</v>
      </c>
      <c r="N44">
        <f t="shared" si="2"/>
        <v>281.25</v>
      </c>
    </row>
    <row r="45" spans="1:14" x14ac:dyDescent="0.25">
      <c r="A45" s="4" t="s">
        <v>120</v>
      </c>
      <c r="B45" s="4">
        <v>143</v>
      </c>
      <c r="C45" s="4">
        <v>138</v>
      </c>
      <c r="D45">
        <v>196</v>
      </c>
      <c r="E45" s="5"/>
      <c r="F45" s="4">
        <v>345</v>
      </c>
      <c r="G45">
        <v>178</v>
      </c>
      <c r="H45">
        <v>251</v>
      </c>
      <c r="I45">
        <v>331</v>
      </c>
      <c r="K45">
        <f>(AVERAGE(B45:I45))</f>
        <v>226</v>
      </c>
      <c r="M45">
        <f>AVERAGE(B45:E45)</f>
        <v>159</v>
      </c>
      <c r="N45">
        <f>AVERAGE(G45:I45)</f>
        <v>253.33333333333334</v>
      </c>
    </row>
    <row r="46" spans="1:14" x14ac:dyDescent="0.25">
      <c r="A46" s="4" t="s">
        <v>125</v>
      </c>
      <c r="B46" s="4">
        <v>88</v>
      </c>
      <c r="C46" s="5"/>
      <c r="D46" s="5"/>
      <c r="E46" s="5"/>
      <c r="F46" s="4">
        <v>64</v>
      </c>
      <c r="G46">
        <v>100</v>
      </c>
      <c r="H46">
        <v>78</v>
      </c>
      <c r="I46">
        <v>85</v>
      </c>
      <c r="K46">
        <f t="shared" si="0"/>
        <v>83</v>
      </c>
      <c r="M46">
        <f t="shared" si="1"/>
        <v>88</v>
      </c>
      <c r="N46">
        <f t="shared" si="2"/>
        <v>81.75</v>
      </c>
    </row>
    <row r="47" spans="1:14" x14ac:dyDescent="0.25">
      <c r="A47" t="s">
        <v>130</v>
      </c>
      <c r="B47" s="5"/>
      <c r="C47" s="5"/>
      <c r="D47" s="5"/>
      <c r="E47" s="5"/>
      <c r="F47" s="5"/>
      <c r="G47">
        <v>193</v>
      </c>
      <c r="H47">
        <v>292</v>
      </c>
      <c r="I47">
        <v>337</v>
      </c>
      <c r="K47">
        <f t="shared" si="0"/>
        <v>274</v>
      </c>
      <c r="M47" s="5"/>
      <c r="N47">
        <f t="shared" si="2"/>
        <v>274</v>
      </c>
    </row>
    <row r="48" spans="1:14" x14ac:dyDescent="0.25">
      <c r="A48" t="s">
        <v>145</v>
      </c>
      <c r="B48" s="4">
        <v>202</v>
      </c>
      <c r="C48" s="4">
        <v>76</v>
      </c>
      <c r="D48">
        <v>102</v>
      </c>
      <c r="E48">
        <v>209</v>
      </c>
      <c r="F48" s="4">
        <v>361</v>
      </c>
      <c r="G48" s="4">
        <v>283</v>
      </c>
      <c r="H48" s="4">
        <v>230</v>
      </c>
      <c r="I48" s="4">
        <v>233</v>
      </c>
      <c r="K48">
        <f t="shared" si="0"/>
        <v>212</v>
      </c>
      <c r="M48">
        <f t="shared" si="1"/>
        <v>147.25</v>
      </c>
      <c r="N48">
        <f t="shared" si="2"/>
        <v>276.75</v>
      </c>
    </row>
    <row r="49" spans="1:15" x14ac:dyDescent="0.25">
      <c r="A49" t="s">
        <v>144</v>
      </c>
      <c r="B49" s="4">
        <v>187</v>
      </c>
      <c r="C49" s="5"/>
      <c r="D49" s="5"/>
      <c r="E49">
        <v>164</v>
      </c>
      <c r="F49" s="4">
        <v>181</v>
      </c>
      <c r="G49" s="4">
        <v>219</v>
      </c>
      <c r="H49" s="4">
        <v>208</v>
      </c>
      <c r="I49" s="5"/>
      <c r="K49">
        <f t="shared" si="0"/>
        <v>191.8</v>
      </c>
      <c r="M49">
        <f t="shared" si="1"/>
        <v>175.5</v>
      </c>
      <c r="N49">
        <f t="shared" si="2"/>
        <v>202.66666666666666</v>
      </c>
    </row>
    <row r="50" spans="1:15" x14ac:dyDescent="0.25">
      <c r="A50" t="s">
        <v>132</v>
      </c>
      <c r="B50" s="4">
        <v>272</v>
      </c>
      <c r="C50">
        <v>482</v>
      </c>
      <c r="D50">
        <v>377</v>
      </c>
      <c r="E50">
        <v>493</v>
      </c>
      <c r="F50" s="4">
        <v>388</v>
      </c>
      <c r="G50" s="4">
        <v>385</v>
      </c>
      <c r="H50" s="5"/>
      <c r="I50" s="5"/>
      <c r="K50">
        <f t="shared" si="0"/>
        <v>399.5</v>
      </c>
      <c r="M50">
        <f t="shared" si="1"/>
        <v>406</v>
      </c>
      <c r="N50">
        <f t="shared" si="2"/>
        <v>386.5</v>
      </c>
    </row>
    <row r="51" spans="1:15" x14ac:dyDescent="0.25">
      <c r="A51" t="s">
        <v>146</v>
      </c>
      <c r="B51" s="4">
        <v>123</v>
      </c>
      <c r="C51">
        <v>122</v>
      </c>
      <c r="D51">
        <v>182</v>
      </c>
      <c r="E51">
        <v>283</v>
      </c>
      <c r="F51" s="4">
        <v>165</v>
      </c>
      <c r="G51" s="4">
        <v>209</v>
      </c>
      <c r="H51" s="4">
        <v>152</v>
      </c>
      <c r="I51" s="4">
        <v>203</v>
      </c>
      <c r="K51">
        <f t="shared" si="0"/>
        <v>179.875</v>
      </c>
      <c r="M51">
        <f t="shared" si="1"/>
        <v>177.5</v>
      </c>
      <c r="N51">
        <f t="shared" si="2"/>
        <v>182.25</v>
      </c>
    </row>
    <row r="52" spans="1:15" x14ac:dyDescent="0.25">
      <c r="A52" t="s">
        <v>147</v>
      </c>
      <c r="B52" s="4">
        <v>132</v>
      </c>
      <c r="C52">
        <v>181</v>
      </c>
      <c r="D52">
        <v>184</v>
      </c>
      <c r="E52">
        <v>127</v>
      </c>
      <c r="F52" s="4">
        <v>198</v>
      </c>
      <c r="G52" s="4">
        <v>264</v>
      </c>
      <c r="H52" s="5"/>
      <c r="I52" s="5"/>
      <c r="K52">
        <f t="shared" si="0"/>
        <v>181</v>
      </c>
      <c r="M52">
        <f t="shared" si="1"/>
        <v>156</v>
      </c>
      <c r="N52">
        <f t="shared" si="2"/>
        <v>231</v>
      </c>
    </row>
    <row r="53" spans="1:15" x14ac:dyDescent="0.25">
      <c r="A53" t="s">
        <v>155</v>
      </c>
      <c r="B53" s="4">
        <v>158</v>
      </c>
      <c r="C53" s="5"/>
      <c r="D53">
        <v>235</v>
      </c>
      <c r="E53" s="5"/>
      <c r="F53" s="4">
        <v>267</v>
      </c>
      <c r="G53" s="4">
        <v>147</v>
      </c>
      <c r="H53" s="5"/>
      <c r="I53" s="4">
        <v>182</v>
      </c>
      <c r="K53">
        <f t="shared" si="0"/>
        <v>197.8</v>
      </c>
      <c r="M53">
        <f t="shared" si="1"/>
        <v>196.5</v>
      </c>
      <c r="N53">
        <f t="shared" si="2"/>
        <v>198.66666666666666</v>
      </c>
    </row>
    <row r="54" spans="1:15" x14ac:dyDescent="0.25">
      <c r="A54" t="s">
        <v>158</v>
      </c>
      <c r="B54" s="4">
        <v>216</v>
      </c>
      <c r="C54">
        <v>270</v>
      </c>
      <c r="D54">
        <v>182</v>
      </c>
      <c r="E54">
        <v>203</v>
      </c>
      <c r="F54" s="4">
        <v>174</v>
      </c>
      <c r="G54" s="5"/>
      <c r="H54" s="4">
        <v>218</v>
      </c>
      <c r="I54" s="4">
        <v>336</v>
      </c>
      <c r="K54">
        <f t="shared" si="0"/>
        <v>228.42857142857142</v>
      </c>
      <c r="M54">
        <f t="shared" si="1"/>
        <v>217.75</v>
      </c>
      <c r="N54">
        <f t="shared" si="2"/>
        <v>242.66666666666666</v>
      </c>
    </row>
    <row r="55" spans="1:15" x14ac:dyDescent="0.25">
      <c r="A55" t="s">
        <v>162</v>
      </c>
      <c r="B55" s="4">
        <v>139</v>
      </c>
      <c r="C55">
        <v>73</v>
      </c>
      <c r="D55">
        <v>126</v>
      </c>
      <c r="E55">
        <v>309</v>
      </c>
      <c r="F55" s="4">
        <v>129</v>
      </c>
      <c r="G55" s="4">
        <v>149</v>
      </c>
      <c r="H55" s="4">
        <v>222</v>
      </c>
      <c r="I55" s="4">
        <v>122</v>
      </c>
      <c r="K55">
        <f t="shared" si="0"/>
        <v>158.625</v>
      </c>
      <c r="M55">
        <f t="shared" si="1"/>
        <v>161.75</v>
      </c>
      <c r="N55">
        <f t="shared" si="2"/>
        <v>155.5</v>
      </c>
    </row>
    <row r="56" spans="1:15" x14ac:dyDescent="0.25">
      <c r="A56" t="s">
        <v>160</v>
      </c>
      <c r="B56" s="4">
        <v>216</v>
      </c>
      <c r="C56">
        <v>168</v>
      </c>
      <c r="D56">
        <v>316</v>
      </c>
      <c r="E56">
        <v>369</v>
      </c>
      <c r="F56" s="5"/>
      <c r="G56" s="4">
        <v>244</v>
      </c>
      <c r="H56" s="4">
        <v>366</v>
      </c>
      <c r="I56" s="5"/>
      <c r="K56">
        <f t="shared" ref="K56:K61" si="3">(AVERAGE(B56:I56))</f>
        <v>279.83333333333331</v>
      </c>
      <c r="M56">
        <f t="shared" ref="M56:M61" si="4">AVERAGE(B56:E56)</f>
        <v>267.25</v>
      </c>
      <c r="N56">
        <f t="shared" ref="N56:N61" si="5">AVERAGE(F56:I56)</f>
        <v>305</v>
      </c>
    </row>
    <row r="57" spans="1:15" x14ac:dyDescent="0.25">
      <c r="A57" t="s">
        <v>173</v>
      </c>
      <c r="B57" s="4">
        <v>85</v>
      </c>
      <c r="C57">
        <v>157</v>
      </c>
      <c r="D57">
        <v>139</v>
      </c>
      <c r="E57">
        <v>62</v>
      </c>
      <c r="F57" s="4">
        <v>104</v>
      </c>
      <c r="G57" s="4">
        <v>233</v>
      </c>
      <c r="H57" s="4">
        <v>283</v>
      </c>
      <c r="I57" s="5"/>
      <c r="K57">
        <f t="shared" si="3"/>
        <v>151.85714285714286</v>
      </c>
      <c r="M57">
        <f t="shared" si="4"/>
        <v>110.75</v>
      </c>
      <c r="N57">
        <f t="shared" si="5"/>
        <v>206.66666666666666</v>
      </c>
    </row>
    <row r="58" spans="1:15" x14ac:dyDescent="0.25">
      <c r="A58" t="s">
        <v>174</v>
      </c>
      <c r="B58" s="4">
        <v>357</v>
      </c>
      <c r="C58">
        <v>196</v>
      </c>
      <c r="D58">
        <v>279</v>
      </c>
      <c r="E58">
        <v>433</v>
      </c>
      <c r="F58" s="5"/>
      <c r="G58" s="5"/>
      <c r="H58" s="5"/>
      <c r="I58" s="5"/>
      <c r="K58">
        <f t="shared" si="3"/>
        <v>316.25</v>
      </c>
      <c r="M58">
        <f t="shared" si="4"/>
        <v>316.25</v>
      </c>
      <c r="N58" s="5"/>
      <c r="O58" s="5" t="s">
        <v>248</v>
      </c>
    </row>
    <row r="59" spans="1:15" x14ac:dyDescent="0.25">
      <c r="A59" t="s">
        <v>175</v>
      </c>
      <c r="B59" s="4">
        <v>103</v>
      </c>
      <c r="C59">
        <v>72</v>
      </c>
      <c r="D59">
        <v>62</v>
      </c>
      <c r="E59">
        <v>118</v>
      </c>
      <c r="F59" s="4">
        <v>118</v>
      </c>
      <c r="G59" s="4">
        <v>39</v>
      </c>
      <c r="H59" s="4">
        <v>41</v>
      </c>
      <c r="I59" s="4">
        <v>62</v>
      </c>
      <c r="K59">
        <f t="shared" si="3"/>
        <v>76.875</v>
      </c>
      <c r="M59">
        <f t="shared" si="4"/>
        <v>88.75</v>
      </c>
      <c r="N59">
        <f t="shared" si="5"/>
        <v>65</v>
      </c>
    </row>
    <row r="60" spans="1:15" x14ac:dyDescent="0.25">
      <c r="A60" t="s">
        <v>187</v>
      </c>
      <c r="B60" s="5"/>
      <c r="C60" s="5"/>
      <c r="D60" s="5"/>
      <c r="E60" s="4">
        <v>238</v>
      </c>
      <c r="F60" s="4">
        <v>203</v>
      </c>
      <c r="G60" s="4">
        <v>321</v>
      </c>
      <c r="H60" s="4">
        <v>223</v>
      </c>
      <c r="I60" s="4">
        <v>242</v>
      </c>
      <c r="K60">
        <f t="shared" si="3"/>
        <v>245.4</v>
      </c>
      <c r="M60">
        <f t="shared" si="4"/>
        <v>238</v>
      </c>
      <c r="N60">
        <f t="shared" si="5"/>
        <v>247.25</v>
      </c>
    </row>
    <row r="61" spans="1:15" x14ac:dyDescent="0.25">
      <c r="A61" t="s">
        <v>186</v>
      </c>
      <c r="B61" s="5"/>
      <c r="C61" s="5"/>
      <c r="D61">
        <v>387</v>
      </c>
      <c r="E61" s="5"/>
      <c r="F61" s="4">
        <v>252</v>
      </c>
      <c r="G61" s="5"/>
      <c r="H61" s="4">
        <v>340</v>
      </c>
      <c r="I61" s="4">
        <v>248</v>
      </c>
      <c r="K61">
        <f t="shared" si="3"/>
        <v>306.75</v>
      </c>
      <c r="M61">
        <f t="shared" si="4"/>
        <v>387</v>
      </c>
      <c r="N61">
        <f t="shared" si="5"/>
        <v>280</v>
      </c>
    </row>
    <row r="63" spans="1:15" x14ac:dyDescent="0.25">
      <c r="J63" s="25"/>
      <c r="K63" s="37"/>
      <c r="L63" s="37"/>
      <c r="M63" s="37"/>
      <c r="N63" s="37"/>
    </row>
    <row r="65" spans="10:14" x14ac:dyDescent="0.25">
      <c r="J65" s="25"/>
      <c r="K65" s="12"/>
      <c r="L65" s="12"/>
      <c r="M65" s="12"/>
      <c r="N65" s="12"/>
    </row>
    <row r="66" spans="10:14" x14ac:dyDescent="0.25">
      <c r="J66" s="25"/>
      <c r="K66" s="12"/>
      <c r="L66" s="12"/>
      <c r="M66" s="12"/>
      <c r="N66" s="12"/>
    </row>
    <row r="67" spans="10:14" x14ac:dyDescent="0.25">
      <c r="K67" s="12"/>
      <c r="L67" s="12"/>
      <c r="M67" s="12"/>
      <c r="N67" s="12"/>
    </row>
    <row r="68" spans="10:14" x14ac:dyDescent="0.25">
      <c r="J68" s="25"/>
      <c r="K68" s="12"/>
      <c r="L68" s="12"/>
      <c r="M68" s="12"/>
      <c r="N68" s="12"/>
    </row>
    <row r="69" spans="10:14" x14ac:dyDescent="0.25">
      <c r="J69" s="25"/>
      <c r="K69" s="12"/>
      <c r="L69" s="12"/>
      <c r="M69" s="12"/>
      <c r="N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Z69"/>
  <sheetViews>
    <sheetView zoomScale="55" zoomScaleNormal="55" workbookViewId="0">
      <selection activeCell="Q42" sqref="Q42"/>
    </sheetView>
  </sheetViews>
  <sheetFormatPr defaultRowHeight="15" x14ac:dyDescent="0.25"/>
  <cols>
    <col min="17" max="20" width="9.140625" style="20"/>
    <col min="21" max="22" width="9.140625" style="21"/>
    <col min="23" max="26" width="9.140625" style="20"/>
  </cols>
  <sheetData>
    <row r="1" spans="1:25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Q1" s="29"/>
      <c r="R1" s="29"/>
      <c r="S1" s="29"/>
      <c r="T1" s="29"/>
      <c r="U1" s="29"/>
      <c r="V1" s="29"/>
      <c r="W1" s="29"/>
      <c r="X1" s="29"/>
      <c r="Y1" s="29"/>
    </row>
    <row r="2" spans="1:25" x14ac:dyDescent="0.25">
      <c r="A2" s="4" t="s">
        <v>3</v>
      </c>
      <c r="B2">
        <v>394</v>
      </c>
      <c r="C2">
        <v>263</v>
      </c>
      <c r="D2">
        <v>929</v>
      </c>
      <c r="E2">
        <v>656</v>
      </c>
      <c r="F2">
        <v>96</v>
      </c>
      <c r="G2">
        <v>463</v>
      </c>
      <c r="H2">
        <v>207</v>
      </c>
      <c r="I2">
        <v>679</v>
      </c>
      <c r="K2">
        <f>(AVERAGE(B2:I2))</f>
        <v>460.875</v>
      </c>
      <c r="M2">
        <f>AVERAGE(B2:E2)</f>
        <v>560.5</v>
      </c>
      <c r="N2">
        <f>AVERAGE(F2:I2)</f>
        <v>361.25</v>
      </c>
      <c r="Q2" s="21"/>
      <c r="R2" s="5"/>
      <c r="S2" t="s">
        <v>247</v>
      </c>
      <c r="T2" s="21"/>
      <c r="W2" s="21"/>
      <c r="X2" s="21"/>
      <c r="Y2" s="21"/>
    </row>
    <row r="3" spans="1:25" x14ac:dyDescent="0.25">
      <c r="A3" s="4" t="s">
        <v>13</v>
      </c>
      <c r="B3">
        <v>498</v>
      </c>
      <c r="C3">
        <v>303</v>
      </c>
      <c r="D3">
        <v>170</v>
      </c>
      <c r="E3">
        <v>131</v>
      </c>
      <c r="F3">
        <v>144</v>
      </c>
      <c r="G3">
        <v>121</v>
      </c>
      <c r="H3">
        <v>191</v>
      </c>
      <c r="I3">
        <v>302</v>
      </c>
      <c r="K3">
        <f t="shared" ref="K3:K37" si="0">(AVERAGE(B3:I3))</f>
        <v>232.5</v>
      </c>
      <c r="M3">
        <f t="shared" ref="M3:M55" si="1">AVERAGE(B3:E3)</f>
        <v>275.5</v>
      </c>
      <c r="N3">
        <f t="shared" ref="N3:N37" si="2">AVERAGE(F3:I3)</f>
        <v>189.5</v>
      </c>
      <c r="Q3" s="21"/>
      <c r="R3" s="21"/>
      <c r="S3" s="21"/>
      <c r="T3" s="21"/>
      <c r="W3" s="21"/>
      <c r="X3" s="21"/>
      <c r="Y3" s="21"/>
    </row>
    <row r="4" spans="1:25" x14ac:dyDescent="0.25">
      <c r="A4" s="4" t="s">
        <v>68</v>
      </c>
      <c r="B4">
        <v>259</v>
      </c>
      <c r="C4" s="5"/>
      <c r="D4" s="5"/>
      <c r="E4" s="5"/>
      <c r="F4" s="4">
        <v>364</v>
      </c>
      <c r="G4" s="5"/>
      <c r="H4" s="4">
        <v>183</v>
      </c>
      <c r="I4" s="4">
        <v>185</v>
      </c>
      <c r="K4">
        <f t="shared" si="0"/>
        <v>247.75</v>
      </c>
      <c r="M4">
        <f t="shared" si="1"/>
        <v>259</v>
      </c>
      <c r="N4">
        <f t="shared" si="2"/>
        <v>244</v>
      </c>
      <c r="Q4" s="21"/>
      <c r="R4" s="21"/>
      <c r="S4" s="21"/>
      <c r="T4" s="21"/>
      <c r="W4" s="21"/>
      <c r="X4" s="21"/>
      <c r="Y4" s="21"/>
    </row>
    <row r="5" spans="1:25" x14ac:dyDescent="0.25">
      <c r="A5" s="4" t="s">
        <v>69</v>
      </c>
      <c r="B5">
        <v>483</v>
      </c>
      <c r="C5">
        <v>583</v>
      </c>
      <c r="D5">
        <v>1282</v>
      </c>
      <c r="E5">
        <v>419</v>
      </c>
      <c r="F5" s="5"/>
      <c r="G5" s="5"/>
      <c r="H5" s="5"/>
      <c r="I5" s="5"/>
      <c r="K5">
        <f t="shared" si="0"/>
        <v>691.75</v>
      </c>
      <c r="M5">
        <f t="shared" si="1"/>
        <v>691.75</v>
      </c>
      <c r="N5" s="5"/>
      <c r="Q5" s="21"/>
      <c r="R5" s="21"/>
      <c r="S5" s="21"/>
      <c r="T5" s="21"/>
      <c r="W5" s="21"/>
      <c r="X5" s="21"/>
      <c r="Y5" s="21"/>
    </row>
    <row r="6" spans="1:25" x14ac:dyDescent="0.25">
      <c r="A6" t="s">
        <v>70</v>
      </c>
      <c r="B6">
        <v>121</v>
      </c>
      <c r="C6">
        <v>76</v>
      </c>
      <c r="D6">
        <v>55</v>
      </c>
      <c r="E6">
        <v>18</v>
      </c>
      <c r="F6" s="4">
        <v>67</v>
      </c>
      <c r="G6" s="4">
        <v>139</v>
      </c>
      <c r="H6" s="4">
        <v>75</v>
      </c>
      <c r="I6" s="4">
        <v>19</v>
      </c>
      <c r="K6">
        <f t="shared" si="0"/>
        <v>71.25</v>
      </c>
      <c r="M6">
        <f t="shared" si="1"/>
        <v>67.5</v>
      </c>
      <c r="N6">
        <f t="shared" si="2"/>
        <v>75</v>
      </c>
      <c r="Q6" s="21"/>
      <c r="R6" s="21"/>
      <c r="S6" s="21"/>
      <c r="T6" s="21"/>
      <c r="W6" s="21"/>
      <c r="X6" s="21"/>
      <c r="Y6" s="21"/>
    </row>
    <row r="7" spans="1:25" x14ac:dyDescent="0.25">
      <c r="A7" s="4" t="s">
        <v>74</v>
      </c>
      <c r="B7" s="5"/>
      <c r="C7">
        <v>182</v>
      </c>
      <c r="D7">
        <v>119</v>
      </c>
      <c r="E7" s="5"/>
      <c r="F7" s="4">
        <v>219</v>
      </c>
      <c r="G7" s="4">
        <v>158</v>
      </c>
      <c r="H7" s="4">
        <v>156</v>
      </c>
      <c r="I7" s="4">
        <v>108</v>
      </c>
      <c r="K7">
        <f t="shared" si="0"/>
        <v>157</v>
      </c>
      <c r="M7">
        <f t="shared" si="1"/>
        <v>150.5</v>
      </c>
      <c r="N7">
        <f t="shared" si="2"/>
        <v>160.25</v>
      </c>
      <c r="Q7" s="21"/>
      <c r="R7" s="21"/>
      <c r="S7" s="21"/>
      <c r="T7" s="21"/>
      <c r="W7" s="21"/>
      <c r="X7" s="21"/>
      <c r="Y7" s="21"/>
    </row>
    <row r="8" spans="1:25" x14ac:dyDescent="0.25">
      <c r="A8" s="4" t="s">
        <v>79</v>
      </c>
      <c r="B8">
        <v>163</v>
      </c>
      <c r="C8">
        <v>361</v>
      </c>
      <c r="D8">
        <v>302</v>
      </c>
      <c r="E8">
        <v>353</v>
      </c>
      <c r="F8" s="4">
        <v>297</v>
      </c>
      <c r="G8" s="4">
        <v>331</v>
      </c>
      <c r="H8" s="4">
        <v>304</v>
      </c>
      <c r="I8" s="4">
        <v>190</v>
      </c>
      <c r="K8">
        <f t="shared" si="0"/>
        <v>287.625</v>
      </c>
      <c r="M8">
        <f t="shared" si="1"/>
        <v>294.75</v>
      </c>
      <c r="N8">
        <f t="shared" si="2"/>
        <v>280.5</v>
      </c>
      <c r="Q8" s="21"/>
      <c r="R8" s="21"/>
      <c r="S8" s="21"/>
      <c r="T8" s="21"/>
      <c r="W8" s="21"/>
      <c r="X8" s="21"/>
      <c r="Y8" s="21"/>
    </row>
    <row r="9" spans="1:25" x14ac:dyDescent="0.25">
      <c r="A9" s="4" t="s">
        <v>80</v>
      </c>
      <c r="B9">
        <v>910</v>
      </c>
      <c r="C9">
        <v>955</v>
      </c>
      <c r="D9">
        <v>784</v>
      </c>
      <c r="E9">
        <v>642</v>
      </c>
      <c r="F9" s="5"/>
      <c r="G9" s="5"/>
      <c r="H9" s="4">
        <v>370</v>
      </c>
      <c r="I9" s="4">
        <v>839</v>
      </c>
      <c r="K9">
        <f t="shared" si="0"/>
        <v>750</v>
      </c>
      <c r="M9">
        <f t="shared" si="1"/>
        <v>822.75</v>
      </c>
      <c r="N9">
        <f t="shared" si="2"/>
        <v>604.5</v>
      </c>
      <c r="Q9" s="21"/>
      <c r="R9" s="21"/>
      <c r="S9" s="21"/>
      <c r="T9" s="21"/>
      <c r="W9" s="21"/>
      <c r="X9" s="21"/>
      <c r="Y9" s="21"/>
    </row>
    <row r="10" spans="1:25" x14ac:dyDescent="0.25">
      <c r="A10" s="4" t="s">
        <v>86</v>
      </c>
      <c r="B10">
        <v>73</v>
      </c>
      <c r="C10">
        <v>79</v>
      </c>
      <c r="D10">
        <v>225</v>
      </c>
      <c r="E10">
        <v>155</v>
      </c>
      <c r="F10" s="4">
        <v>203</v>
      </c>
      <c r="G10" s="4">
        <v>90</v>
      </c>
      <c r="H10" s="5"/>
      <c r="I10" s="4">
        <v>157</v>
      </c>
      <c r="K10">
        <f t="shared" si="0"/>
        <v>140.28571428571428</v>
      </c>
      <c r="M10">
        <f t="shared" si="1"/>
        <v>133</v>
      </c>
      <c r="N10">
        <f t="shared" si="2"/>
        <v>150</v>
      </c>
      <c r="Q10" s="21"/>
      <c r="R10" s="21"/>
      <c r="S10" s="21"/>
      <c r="T10" s="21"/>
      <c r="W10" s="21"/>
      <c r="X10" s="21"/>
      <c r="Y10" s="21"/>
    </row>
    <row r="11" spans="1:25" x14ac:dyDescent="0.25">
      <c r="A11" s="4" t="s">
        <v>92</v>
      </c>
      <c r="B11" s="5"/>
      <c r="C11">
        <v>186</v>
      </c>
      <c r="D11" s="5"/>
      <c r="E11">
        <v>89</v>
      </c>
      <c r="F11" s="5"/>
      <c r="G11" s="5"/>
      <c r="H11" s="5"/>
      <c r="I11" s="5"/>
      <c r="K11">
        <f t="shared" si="0"/>
        <v>137.5</v>
      </c>
      <c r="M11">
        <f t="shared" si="1"/>
        <v>137.5</v>
      </c>
      <c r="N11" s="5"/>
      <c r="Q11" s="21"/>
      <c r="R11" s="21"/>
      <c r="S11" s="21"/>
      <c r="T11" s="21"/>
      <c r="W11" s="21"/>
      <c r="X11" s="21"/>
      <c r="Y11" s="21"/>
    </row>
    <row r="12" spans="1:25" x14ac:dyDescent="0.25">
      <c r="A12" s="4" t="s">
        <v>93</v>
      </c>
      <c r="B12">
        <v>5</v>
      </c>
      <c r="C12">
        <v>13</v>
      </c>
      <c r="D12">
        <v>14</v>
      </c>
      <c r="E12">
        <v>381</v>
      </c>
      <c r="F12" s="5"/>
      <c r="G12" s="5"/>
      <c r="H12" s="5"/>
      <c r="I12" s="5"/>
      <c r="K12">
        <f t="shared" si="0"/>
        <v>103.25</v>
      </c>
      <c r="M12">
        <f t="shared" si="1"/>
        <v>103.25</v>
      </c>
      <c r="N12" s="5"/>
      <c r="Q12" s="21"/>
      <c r="R12" s="21"/>
      <c r="S12" s="21"/>
      <c r="T12" s="21"/>
      <c r="W12" s="21"/>
      <c r="X12" s="21"/>
      <c r="Y12" s="21"/>
    </row>
    <row r="13" spans="1:25" x14ac:dyDescent="0.25">
      <c r="A13" s="4" t="s">
        <v>110</v>
      </c>
      <c r="B13">
        <v>517</v>
      </c>
      <c r="C13">
        <v>849</v>
      </c>
      <c r="D13">
        <v>382</v>
      </c>
      <c r="E13">
        <v>446</v>
      </c>
      <c r="F13">
        <v>481</v>
      </c>
      <c r="G13">
        <v>446</v>
      </c>
      <c r="H13">
        <v>81</v>
      </c>
      <c r="I13" s="4">
        <v>720</v>
      </c>
      <c r="K13">
        <f t="shared" si="0"/>
        <v>490.25</v>
      </c>
      <c r="M13">
        <f t="shared" si="1"/>
        <v>548.5</v>
      </c>
      <c r="N13">
        <f t="shared" si="2"/>
        <v>432</v>
      </c>
      <c r="Q13" s="21"/>
      <c r="R13" s="21"/>
      <c r="S13" s="21"/>
      <c r="T13" s="21"/>
      <c r="W13" s="21"/>
      <c r="X13" s="21"/>
      <c r="Y13" s="21"/>
    </row>
    <row r="14" spans="1:25" x14ac:dyDescent="0.25">
      <c r="A14" s="4" t="s">
        <v>120</v>
      </c>
      <c r="B14">
        <v>125</v>
      </c>
      <c r="C14" s="5"/>
      <c r="D14">
        <v>202</v>
      </c>
      <c r="E14" s="5"/>
      <c r="F14">
        <v>72</v>
      </c>
      <c r="G14" s="4">
        <v>355</v>
      </c>
      <c r="H14" s="4">
        <v>458</v>
      </c>
      <c r="I14" s="4">
        <v>387</v>
      </c>
      <c r="K14">
        <f t="shared" si="0"/>
        <v>266.5</v>
      </c>
      <c r="M14">
        <f t="shared" si="1"/>
        <v>163.5</v>
      </c>
      <c r="N14">
        <f t="shared" si="2"/>
        <v>318</v>
      </c>
      <c r="Q14" s="21"/>
      <c r="R14" s="21"/>
      <c r="S14" s="21"/>
      <c r="T14" s="21"/>
      <c r="W14" s="21"/>
      <c r="X14" s="21"/>
      <c r="Y14" s="21"/>
    </row>
    <row r="15" spans="1:25" x14ac:dyDescent="0.25">
      <c r="A15" s="4" t="s">
        <v>125</v>
      </c>
      <c r="B15">
        <v>12</v>
      </c>
      <c r="C15">
        <v>0</v>
      </c>
      <c r="D15">
        <v>35</v>
      </c>
      <c r="E15">
        <v>0</v>
      </c>
      <c r="F15" s="5"/>
      <c r="G15" s="4">
        <v>0</v>
      </c>
      <c r="H15" s="4">
        <v>0</v>
      </c>
      <c r="I15" s="4">
        <v>0</v>
      </c>
      <c r="K15">
        <f t="shared" si="0"/>
        <v>6.7142857142857144</v>
      </c>
      <c r="M15">
        <f>AVERAGE(B15:E15)</f>
        <v>11.75</v>
      </c>
      <c r="N15">
        <f t="shared" si="2"/>
        <v>0</v>
      </c>
      <c r="Q15" s="21"/>
      <c r="R15" s="21"/>
      <c r="S15" s="21"/>
      <c r="T15" s="21"/>
      <c r="W15" s="21"/>
      <c r="X15" s="21"/>
      <c r="Y15" s="21"/>
    </row>
    <row r="16" spans="1:25" x14ac:dyDescent="0.25">
      <c r="A16" t="s">
        <v>130</v>
      </c>
      <c r="B16" s="5"/>
      <c r="C16" s="5"/>
      <c r="D16" s="5"/>
      <c r="E16" s="5"/>
      <c r="F16">
        <v>425</v>
      </c>
      <c r="G16" s="4">
        <v>996</v>
      </c>
      <c r="H16" s="4">
        <v>207</v>
      </c>
      <c r="I16" s="4">
        <v>808</v>
      </c>
      <c r="K16">
        <f t="shared" si="0"/>
        <v>609</v>
      </c>
      <c r="M16" s="5"/>
      <c r="N16">
        <f t="shared" si="2"/>
        <v>609</v>
      </c>
      <c r="Q16" s="21"/>
      <c r="R16" s="21"/>
      <c r="S16" s="21"/>
      <c r="T16" s="21"/>
      <c r="W16" s="21"/>
      <c r="X16" s="21"/>
      <c r="Y16" s="21"/>
    </row>
    <row r="17" spans="1:26" x14ac:dyDescent="0.25">
      <c r="A17" t="s">
        <v>145</v>
      </c>
      <c r="B17">
        <v>578</v>
      </c>
      <c r="C17">
        <v>552</v>
      </c>
      <c r="D17">
        <v>457</v>
      </c>
      <c r="E17" s="5"/>
      <c r="F17" s="5"/>
      <c r="G17" s="4">
        <v>209</v>
      </c>
      <c r="H17" s="4">
        <v>360</v>
      </c>
      <c r="I17" s="4">
        <v>311</v>
      </c>
      <c r="K17">
        <f t="shared" si="0"/>
        <v>411.16666666666669</v>
      </c>
      <c r="M17">
        <f t="shared" si="1"/>
        <v>529</v>
      </c>
      <c r="N17">
        <f t="shared" si="2"/>
        <v>293.33333333333331</v>
      </c>
      <c r="Q17" s="21"/>
      <c r="R17" s="21"/>
      <c r="S17" s="21"/>
      <c r="T17" s="21"/>
      <c r="W17" s="21"/>
      <c r="X17" s="21"/>
      <c r="Y17" s="21"/>
    </row>
    <row r="18" spans="1:26" x14ac:dyDescent="0.25">
      <c r="A18" t="s">
        <v>144</v>
      </c>
      <c r="B18">
        <v>198</v>
      </c>
      <c r="C18" s="4">
        <v>128</v>
      </c>
      <c r="D18">
        <v>113</v>
      </c>
      <c r="E18">
        <v>177</v>
      </c>
      <c r="F18">
        <v>341</v>
      </c>
      <c r="G18" s="4">
        <v>204</v>
      </c>
      <c r="H18" s="5"/>
      <c r="I18" s="4">
        <v>121</v>
      </c>
      <c r="K18">
        <f t="shared" si="0"/>
        <v>183.14285714285714</v>
      </c>
      <c r="M18">
        <f t="shared" si="1"/>
        <v>154</v>
      </c>
      <c r="N18">
        <f t="shared" si="2"/>
        <v>222</v>
      </c>
      <c r="Q18" s="21"/>
      <c r="R18" s="21"/>
      <c r="S18" s="21"/>
      <c r="T18" s="21"/>
      <c r="W18" s="21"/>
      <c r="X18" s="21"/>
      <c r="Y18" s="21"/>
    </row>
    <row r="19" spans="1:26" x14ac:dyDescent="0.25">
      <c r="A19" t="s">
        <v>132</v>
      </c>
      <c r="B19">
        <v>185</v>
      </c>
      <c r="C19" s="4">
        <v>104</v>
      </c>
      <c r="D19">
        <v>368</v>
      </c>
      <c r="E19">
        <v>110</v>
      </c>
      <c r="F19" s="4">
        <v>315</v>
      </c>
      <c r="G19" s="4">
        <v>193</v>
      </c>
      <c r="H19" s="4">
        <v>224</v>
      </c>
      <c r="I19" s="4">
        <v>305</v>
      </c>
      <c r="K19">
        <f>(AVERAGE(F19:I19))</f>
        <v>259.25</v>
      </c>
      <c r="M19">
        <f>AVERAGE(F19:I19)</f>
        <v>259.25</v>
      </c>
      <c r="N19">
        <f t="shared" si="2"/>
        <v>259.25</v>
      </c>
      <c r="Q19" s="21"/>
      <c r="R19" s="21"/>
      <c r="S19" s="21"/>
      <c r="T19" s="21"/>
      <c r="W19" s="21"/>
      <c r="X19" s="21"/>
      <c r="Y19" s="21"/>
    </row>
    <row r="20" spans="1:26" x14ac:dyDescent="0.25">
      <c r="A20" t="s">
        <v>146</v>
      </c>
      <c r="B20">
        <v>352</v>
      </c>
      <c r="C20" s="4">
        <v>429</v>
      </c>
      <c r="D20">
        <v>411</v>
      </c>
      <c r="E20">
        <v>374</v>
      </c>
      <c r="F20" s="4">
        <v>483</v>
      </c>
      <c r="G20" s="4">
        <v>354</v>
      </c>
      <c r="H20" s="4">
        <v>501</v>
      </c>
      <c r="I20" s="4">
        <v>554</v>
      </c>
      <c r="K20">
        <f t="shared" si="0"/>
        <v>432.25</v>
      </c>
      <c r="M20">
        <f t="shared" si="1"/>
        <v>391.5</v>
      </c>
      <c r="N20">
        <f t="shared" si="2"/>
        <v>473</v>
      </c>
      <c r="Q20" s="21"/>
      <c r="R20" s="21"/>
      <c r="S20" s="21"/>
      <c r="T20" s="21"/>
      <c r="W20" s="21"/>
      <c r="X20" s="21"/>
      <c r="Y20" s="21"/>
    </row>
    <row r="21" spans="1:26" x14ac:dyDescent="0.25">
      <c r="A21" t="s">
        <v>147</v>
      </c>
      <c r="B21">
        <v>196</v>
      </c>
      <c r="C21" s="4">
        <v>407</v>
      </c>
      <c r="D21">
        <v>63</v>
      </c>
      <c r="E21">
        <v>61</v>
      </c>
      <c r="F21" s="4">
        <v>139</v>
      </c>
      <c r="G21" s="4">
        <v>107</v>
      </c>
      <c r="H21" s="4">
        <v>278</v>
      </c>
      <c r="I21" s="4">
        <v>40</v>
      </c>
      <c r="K21">
        <f t="shared" si="0"/>
        <v>161.375</v>
      </c>
      <c r="M21">
        <f t="shared" si="1"/>
        <v>181.75</v>
      </c>
      <c r="N21">
        <f t="shared" si="2"/>
        <v>141</v>
      </c>
      <c r="Q21" s="21"/>
      <c r="R21" s="21"/>
      <c r="S21" s="21"/>
      <c r="T21" s="21"/>
      <c r="W21" s="21"/>
      <c r="X21" s="21"/>
      <c r="Y21" s="21"/>
    </row>
    <row r="22" spans="1:26" x14ac:dyDescent="0.25">
      <c r="A22" t="s">
        <v>155</v>
      </c>
      <c r="B22">
        <v>37</v>
      </c>
      <c r="C22" s="4">
        <v>38</v>
      </c>
      <c r="D22">
        <v>433</v>
      </c>
      <c r="E22">
        <v>408</v>
      </c>
      <c r="F22" s="4">
        <v>153</v>
      </c>
      <c r="G22" s="4">
        <v>367</v>
      </c>
      <c r="H22" s="4">
        <v>263</v>
      </c>
      <c r="I22" s="5"/>
      <c r="K22">
        <f t="shared" si="0"/>
        <v>242.71428571428572</v>
      </c>
      <c r="M22">
        <f t="shared" si="1"/>
        <v>229</v>
      </c>
      <c r="N22">
        <f t="shared" si="2"/>
        <v>261</v>
      </c>
      <c r="Q22" s="21"/>
      <c r="R22" s="21"/>
      <c r="S22" s="21"/>
      <c r="T22" s="21"/>
      <c r="W22" s="21"/>
      <c r="X22" s="21"/>
      <c r="Y22" s="21"/>
    </row>
    <row r="23" spans="1:26" x14ac:dyDescent="0.25">
      <c r="A23" t="s">
        <v>158</v>
      </c>
      <c r="B23">
        <v>227</v>
      </c>
      <c r="C23" s="4">
        <v>179</v>
      </c>
      <c r="D23">
        <v>273</v>
      </c>
      <c r="E23">
        <v>617</v>
      </c>
      <c r="F23" s="5"/>
      <c r="G23" s="4">
        <v>407</v>
      </c>
      <c r="H23" s="4">
        <v>494</v>
      </c>
      <c r="I23" s="4">
        <v>446</v>
      </c>
      <c r="K23">
        <f t="shared" si="0"/>
        <v>377.57142857142856</v>
      </c>
      <c r="M23">
        <f t="shared" si="1"/>
        <v>324</v>
      </c>
      <c r="N23">
        <f t="shared" si="2"/>
        <v>449</v>
      </c>
      <c r="Q23" s="21"/>
      <c r="R23" s="21"/>
      <c r="S23" s="21"/>
      <c r="T23" s="21"/>
      <c r="W23" s="21"/>
      <c r="X23" s="21"/>
      <c r="Y23" s="21"/>
    </row>
    <row r="24" spans="1:26" x14ac:dyDescent="0.25">
      <c r="A24" t="s">
        <v>162</v>
      </c>
      <c r="B24">
        <v>0</v>
      </c>
      <c r="C24" s="4">
        <v>95</v>
      </c>
      <c r="D24" s="5"/>
      <c r="E24" s="5"/>
      <c r="F24" s="4">
        <v>13</v>
      </c>
      <c r="G24" s="4">
        <v>52</v>
      </c>
      <c r="H24" s="4">
        <v>26</v>
      </c>
      <c r="I24" s="4">
        <v>5</v>
      </c>
      <c r="K24">
        <f t="shared" si="0"/>
        <v>31.833333333333332</v>
      </c>
      <c r="M24">
        <f t="shared" si="1"/>
        <v>47.5</v>
      </c>
      <c r="N24">
        <f t="shared" si="2"/>
        <v>24</v>
      </c>
      <c r="Q24" s="21"/>
      <c r="R24" s="21"/>
      <c r="S24" s="21"/>
      <c r="T24" s="21"/>
      <c r="W24" s="21"/>
      <c r="X24" s="21"/>
      <c r="Y24" s="21"/>
    </row>
    <row r="25" spans="1:26" x14ac:dyDescent="0.25">
      <c r="A25" t="s">
        <v>160</v>
      </c>
      <c r="B25">
        <v>792</v>
      </c>
      <c r="C25" s="4">
        <v>523</v>
      </c>
      <c r="D25">
        <v>442</v>
      </c>
      <c r="E25">
        <v>418</v>
      </c>
      <c r="F25" s="5"/>
      <c r="G25" s="4">
        <v>475</v>
      </c>
      <c r="H25" s="4">
        <v>622</v>
      </c>
      <c r="I25" s="4">
        <v>958</v>
      </c>
      <c r="K25">
        <f t="shared" si="0"/>
        <v>604.28571428571433</v>
      </c>
      <c r="M25">
        <f t="shared" si="1"/>
        <v>543.75</v>
      </c>
      <c r="N25">
        <f t="shared" si="2"/>
        <v>685</v>
      </c>
      <c r="Q25" s="21"/>
      <c r="R25" s="21"/>
      <c r="S25" s="21"/>
      <c r="T25" s="21"/>
      <c r="W25" s="21"/>
      <c r="X25" s="21"/>
      <c r="Y25" s="21"/>
    </row>
    <row r="26" spans="1:26" x14ac:dyDescent="0.25">
      <c r="A26" t="s">
        <v>173</v>
      </c>
      <c r="B26">
        <v>0</v>
      </c>
      <c r="C26" s="4">
        <v>45</v>
      </c>
      <c r="D26">
        <v>110</v>
      </c>
      <c r="E26">
        <v>283</v>
      </c>
      <c r="F26" s="5"/>
      <c r="G26" s="4">
        <v>176</v>
      </c>
      <c r="H26" s="5"/>
      <c r="I26" s="5"/>
      <c r="K26">
        <f t="shared" si="0"/>
        <v>122.8</v>
      </c>
      <c r="M26">
        <f t="shared" si="1"/>
        <v>109.5</v>
      </c>
      <c r="N26">
        <f t="shared" si="2"/>
        <v>176</v>
      </c>
      <c r="Q26" s="21"/>
      <c r="R26" s="21"/>
      <c r="S26" s="21"/>
      <c r="T26" s="21"/>
      <c r="W26" s="21"/>
      <c r="X26" s="21"/>
      <c r="Y26" s="21"/>
    </row>
    <row r="27" spans="1:26" x14ac:dyDescent="0.25">
      <c r="A27" t="s">
        <v>174</v>
      </c>
      <c r="B27">
        <v>166</v>
      </c>
      <c r="C27" s="4">
        <v>422</v>
      </c>
      <c r="D27">
        <v>305</v>
      </c>
      <c r="E27" s="5"/>
      <c r="F27">
        <v>203</v>
      </c>
      <c r="G27" s="4">
        <v>360</v>
      </c>
      <c r="H27" s="5"/>
      <c r="I27" s="5"/>
      <c r="K27">
        <f t="shared" si="0"/>
        <v>291.2</v>
      </c>
      <c r="M27">
        <f t="shared" si="1"/>
        <v>297.66666666666669</v>
      </c>
      <c r="N27">
        <f t="shared" si="2"/>
        <v>281.5</v>
      </c>
      <c r="Q27" s="21"/>
      <c r="R27" s="21"/>
      <c r="S27" s="21"/>
      <c r="T27" s="21"/>
      <c r="W27" s="21"/>
      <c r="X27" s="21"/>
      <c r="Y27" s="21"/>
    </row>
    <row r="28" spans="1:26" x14ac:dyDescent="0.25">
      <c r="A28" t="s">
        <v>175</v>
      </c>
      <c r="B28">
        <v>35</v>
      </c>
      <c r="C28" s="4">
        <v>28</v>
      </c>
      <c r="D28">
        <v>38</v>
      </c>
      <c r="E28">
        <v>57</v>
      </c>
      <c r="F28">
        <v>95</v>
      </c>
      <c r="G28" s="4">
        <v>63</v>
      </c>
      <c r="H28" s="4">
        <v>252</v>
      </c>
      <c r="I28" s="4">
        <v>175</v>
      </c>
      <c r="K28">
        <f t="shared" si="0"/>
        <v>92.875</v>
      </c>
      <c r="M28">
        <f t="shared" si="1"/>
        <v>39.5</v>
      </c>
      <c r="N28">
        <f t="shared" si="2"/>
        <v>146.25</v>
      </c>
      <c r="Q28" s="21"/>
      <c r="R28" s="21"/>
      <c r="S28" s="21"/>
      <c r="T28" s="21"/>
      <c r="W28" s="21"/>
      <c r="X28" s="21"/>
      <c r="Y28" s="21"/>
    </row>
    <row r="29" spans="1:26" x14ac:dyDescent="0.25">
      <c r="A29" t="s">
        <v>187</v>
      </c>
      <c r="B29">
        <v>98</v>
      </c>
      <c r="C29" s="4">
        <v>136</v>
      </c>
      <c r="D29">
        <v>169</v>
      </c>
      <c r="E29">
        <v>68</v>
      </c>
      <c r="F29">
        <v>58</v>
      </c>
      <c r="G29" s="4">
        <v>13</v>
      </c>
      <c r="H29" s="4">
        <v>125</v>
      </c>
      <c r="I29" s="4">
        <v>77</v>
      </c>
      <c r="K29">
        <f t="shared" si="0"/>
        <v>93</v>
      </c>
      <c r="M29">
        <f t="shared" si="1"/>
        <v>117.75</v>
      </c>
      <c r="N29">
        <f t="shared" si="2"/>
        <v>68.25</v>
      </c>
      <c r="Q29" s="21"/>
      <c r="R29" s="21"/>
      <c r="S29" s="21"/>
      <c r="T29" s="21"/>
      <c r="W29" s="21"/>
      <c r="X29" s="21"/>
      <c r="Y29" s="21"/>
    </row>
    <row r="30" spans="1:26" x14ac:dyDescent="0.25">
      <c r="A30" t="s">
        <v>186</v>
      </c>
      <c r="B30">
        <v>130</v>
      </c>
      <c r="C30">
        <v>117</v>
      </c>
      <c r="D30">
        <v>134</v>
      </c>
      <c r="E30">
        <v>237</v>
      </c>
      <c r="F30">
        <v>96</v>
      </c>
      <c r="G30">
        <v>86</v>
      </c>
      <c r="H30" s="5"/>
      <c r="I30">
        <v>230</v>
      </c>
      <c r="K30">
        <f t="shared" si="0"/>
        <v>147.14285714285714</v>
      </c>
      <c r="M30">
        <f t="shared" si="1"/>
        <v>154.5</v>
      </c>
      <c r="N30">
        <f t="shared" si="2"/>
        <v>137.33333333333334</v>
      </c>
      <c r="Q30" s="21"/>
      <c r="R30" s="21"/>
      <c r="S30" s="21"/>
      <c r="T30" s="21"/>
      <c r="W30" s="21"/>
      <c r="X30" s="21"/>
      <c r="Y30" s="21"/>
    </row>
    <row r="31" spans="1:26" x14ac:dyDescent="0.25">
      <c r="H31" s="4"/>
      <c r="Q31" s="21"/>
      <c r="R31" s="21"/>
      <c r="S31" s="21"/>
      <c r="T31" s="21"/>
      <c r="W31" s="21"/>
      <c r="X31" s="21"/>
      <c r="Y31" s="21"/>
    </row>
    <row r="32" spans="1:26" s="25" customFormat="1" x14ac:dyDescent="0.25">
      <c r="A32" s="34" t="s">
        <v>1</v>
      </c>
      <c r="Q32" s="33"/>
      <c r="R32" s="33"/>
      <c r="S32" s="33"/>
      <c r="T32" s="33"/>
      <c r="U32" s="33"/>
      <c r="V32" s="33"/>
      <c r="W32" s="33"/>
      <c r="X32" s="33"/>
      <c r="Y32" s="33"/>
      <c r="Z32" s="32"/>
    </row>
    <row r="33" spans="1:25" x14ac:dyDescent="0.25">
      <c r="A33" s="4" t="s">
        <v>3</v>
      </c>
      <c r="B33">
        <v>586</v>
      </c>
      <c r="C33">
        <v>412</v>
      </c>
      <c r="D33">
        <v>465</v>
      </c>
      <c r="E33">
        <v>483</v>
      </c>
      <c r="F33">
        <v>699</v>
      </c>
      <c r="G33">
        <v>511</v>
      </c>
      <c r="H33">
        <v>531</v>
      </c>
      <c r="I33">
        <v>185</v>
      </c>
      <c r="K33">
        <f t="shared" si="0"/>
        <v>484</v>
      </c>
      <c r="M33">
        <f t="shared" si="1"/>
        <v>486.5</v>
      </c>
      <c r="N33">
        <f t="shared" si="2"/>
        <v>481.5</v>
      </c>
      <c r="Q33" s="21"/>
      <c r="R33" s="21"/>
      <c r="S33" s="21"/>
      <c r="T33" s="21"/>
      <c r="W33" s="21"/>
      <c r="X33" s="21"/>
      <c r="Y33" s="21"/>
    </row>
    <row r="34" spans="1:25" x14ac:dyDescent="0.25">
      <c r="A34" s="4" t="s">
        <v>13</v>
      </c>
      <c r="B34">
        <v>296</v>
      </c>
      <c r="C34" s="5"/>
      <c r="D34">
        <v>417</v>
      </c>
      <c r="E34" s="5"/>
      <c r="F34">
        <v>290</v>
      </c>
      <c r="G34" s="4">
        <v>118</v>
      </c>
      <c r="H34" s="4">
        <v>213</v>
      </c>
      <c r="I34" s="4">
        <v>271</v>
      </c>
      <c r="K34">
        <f t="shared" si="0"/>
        <v>267.5</v>
      </c>
      <c r="M34">
        <f t="shared" si="1"/>
        <v>356.5</v>
      </c>
      <c r="N34">
        <f t="shared" si="2"/>
        <v>223</v>
      </c>
      <c r="Q34" s="21"/>
      <c r="R34" s="21"/>
      <c r="S34" s="21"/>
      <c r="T34" s="21"/>
      <c r="W34" s="21"/>
      <c r="X34" s="21"/>
      <c r="Y34" s="21"/>
    </row>
    <row r="35" spans="1:25" x14ac:dyDescent="0.25">
      <c r="A35" s="4" t="s">
        <v>68</v>
      </c>
      <c r="B35" s="5"/>
      <c r="C35">
        <v>71</v>
      </c>
      <c r="D35" s="5"/>
      <c r="E35" s="5"/>
      <c r="F35" s="5"/>
      <c r="G35" s="5"/>
      <c r="H35" s="5"/>
      <c r="I35" s="5"/>
      <c r="K35">
        <f t="shared" si="0"/>
        <v>71</v>
      </c>
      <c r="M35">
        <f t="shared" si="1"/>
        <v>71</v>
      </c>
      <c r="N35" s="5"/>
      <c r="Q35" s="21"/>
      <c r="R35" s="21"/>
      <c r="S35" s="21"/>
      <c r="T35" s="21"/>
      <c r="W35" s="21"/>
      <c r="X35" s="21"/>
      <c r="Y35" s="21"/>
    </row>
    <row r="36" spans="1:25" x14ac:dyDescent="0.25">
      <c r="A36" s="4" t="s">
        <v>69</v>
      </c>
      <c r="B36" s="5"/>
      <c r="C36" s="5"/>
      <c r="D36" s="5"/>
      <c r="E36" s="5"/>
      <c r="F36">
        <v>1394</v>
      </c>
      <c r="G36">
        <v>629</v>
      </c>
      <c r="H36">
        <v>669</v>
      </c>
      <c r="I36">
        <v>596</v>
      </c>
      <c r="K36">
        <f t="shared" si="0"/>
        <v>822</v>
      </c>
      <c r="M36" s="5"/>
      <c r="N36">
        <f t="shared" si="2"/>
        <v>822</v>
      </c>
      <c r="Q36" s="21"/>
      <c r="R36" s="21"/>
      <c r="S36" s="21"/>
      <c r="T36" s="21"/>
      <c r="W36" s="21"/>
      <c r="X36" s="21"/>
      <c r="Y36" s="21"/>
    </row>
    <row r="37" spans="1:25" x14ac:dyDescent="0.25">
      <c r="A37" s="4" t="s">
        <v>70</v>
      </c>
      <c r="B37">
        <v>93</v>
      </c>
      <c r="C37">
        <v>17</v>
      </c>
      <c r="D37">
        <v>22</v>
      </c>
      <c r="E37" s="5"/>
      <c r="F37">
        <v>35</v>
      </c>
      <c r="G37">
        <v>44</v>
      </c>
      <c r="H37">
        <v>20</v>
      </c>
      <c r="I37">
        <v>99</v>
      </c>
      <c r="K37">
        <f t="shared" si="0"/>
        <v>47.142857142857146</v>
      </c>
      <c r="M37">
        <f t="shared" si="1"/>
        <v>44</v>
      </c>
      <c r="N37">
        <f t="shared" si="2"/>
        <v>49.5</v>
      </c>
      <c r="Q37" s="21"/>
      <c r="R37" s="21"/>
      <c r="S37" s="21"/>
      <c r="T37" s="21"/>
      <c r="W37" s="21"/>
      <c r="X37" s="21"/>
      <c r="Y37" s="21"/>
    </row>
    <row r="38" spans="1:25" x14ac:dyDescent="0.25">
      <c r="A38" s="4" t="s">
        <v>74</v>
      </c>
      <c r="B38">
        <v>231</v>
      </c>
      <c r="C38" s="5"/>
      <c r="D38">
        <v>165</v>
      </c>
      <c r="E38">
        <v>73</v>
      </c>
      <c r="F38" s="5"/>
      <c r="G38">
        <v>332</v>
      </c>
      <c r="H38">
        <v>215</v>
      </c>
      <c r="I38">
        <v>276</v>
      </c>
      <c r="K38">
        <f>(AVERAGE(B38:I38))</f>
        <v>215.33333333333334</v>
      </c>
      <c r="M38">
        <f t="shared" si="1"/>
        <v>156.33333333333334</v>
      </c>
      <c r="N38">
        <f>AVERAGE(F38:I38)</f>
        <v>274.33333333333331</v>
      </c>
      <c r="Q38" s="21"/>
      <c r="R38" s="21"/>
      <c r="S38" s="21"/>
      <c r="T38" s="21"/>
      <c r="W38" s="21"/>
      <c r="X38" s="21"/>
      <c r="Y38" s="21"/>
    </row>
    <row r="39" spans="1:25" x14ac:dyDescent="0.25">
      <c r="A39" s="4" t="s">
        <v>79</v>
      </c>
      <c r="B39">
        <v>142</v>
      </c>
      <c r="C39">
        <v>230</v>
      </c>
      <c r="D39">
        <v>351</v>
      </c>
      <c r="E39">
        <v>320</v>
      </c>
      <c r="F39">
        <v>170</v>
      </c>
      <c r="G39">
        <v>442</v>
      </c>
      <c r="H39">
        <v>270</v>
      </c>
      <c r="I39" s="5"/>
      <c r="K39">
        <f t="shared" ref="K39:K61" si="3">(AVERAGE(B39:I39))</f>
        <v>275</v>
      </c>
      <c r="M39">
        <f t="shared" si="1"/>
        <v>260.75</v>
      </c>
      <c r="N39">
        <f t="shared" ref="N39:N61" si="4">AVERAGE(F39:I39)</f>
        <v>294</v>
      </c>
      <c r="Q39" s="21"/>
      <c r="R39" s="21"/>
      <c r="S39" s="21"/>
      <c r="T39" s="21"/>
      <c r="W39" s="21"/>
      <c r="X39" s="21"/>
      <c r="Y39" s="21"/>
    </row>
    <row r="40" spans="1:25" x14ac:dyDescent="0.25">
      <c r="A40" s="4" t="s">
        <v>80</v>
      </c>
      <c r="B40" s="5"/>
      <c r="C40" s="5"/>
      <c r="D40" s="5"/>
      <c r="E40" s="5"/>
      <c r="F40" s="4">
        <v>274</v>
      </c>
      <c r="G40" s="5"/>
      <c r="H40" s="4">
        <v>229</v>
      </c>
      <c r="I40" s="5"/>
      <c r="K40">
        <f t="shared" si="3"/>
        <v>251.5</v>
      </c>
      <c r="M40" s="5"/>
      <c r="N40">
        <f t="shared" si="4"/>
        <v>251.5</v>
      </c>
      <c r="Q40" s="21"/>
      <c r="R40" s="21"/>
      <c r="S40" s="21"/>
      <c r="T40" s="21"/>
      <c r="W40" s="21"/>
      <c r="X40" s="21"/>
      <c r="Y40" s="21"/>
    </row>
    <row r="41" spans="1:25" x14ac:dyDescent="0.25">
      <c r="A41" s="4" t="s">
        <v>86</v>
      </c>
      <c r="B41">
        <v>0</v>
      </c>
      <c r="C41">
        <v>119</v>
      </c>
      <c r="D41" s="5"/>
      <c r="E41">
        <v>104</v>
      </c>
      <c r="F41" s="5"/>
      <c r="G41" s="5"/>
      <c r="H41" s="5"/>
      <c r="I41" s="5"/>
      <c r="K41">
        <f t="shared" si="3"/>
        <v>74.333333333333329</v>
      </c>
      <c r="M41">
        <f t="shared" si="1"/>
        <v>74.333333333333329</v>
      </c>
      <c r="N41" s="5"/>
      <c r="Q41" s="21"/>
      <c r="R41" s="21"/>
      <c r="S41" s="21"/>
      <c r="T41" s="21"/>
      <c r="W41" s="21"/>
      <c r="X41" s="21"/>
      <c r="Y41" s="21"/>
    </row>
    <row r="42" spans="1:25" x14ac:dyDescent="0.25">
      <c r="A42" s="4" t="s">
        <v>92</v>
      </c>
      <c r="B42" s="4">
        <v>125</v>
      </c>
      <c r="C42" s="5"/>
      <c r="D42" s="5"/>
      <c r="E42" s="4">
        <v>135</v>
      </c>
      <c r="F42" s="4">
        <v>49</v>
      </c>
      <c r="G42" s="5"/>
      <c r="H42" s="5"/>
      <c r="I42">
        <v>69</v>
      </c>
      <c r="K42">
        <f t="shared" si="3"/>
        <v>94.5</v>
      </c>
      <c r="M42">
        <f t="shared" si="1"/>
        <v>130</v>
      </c>
      <c r="N42">
        <f t="shared" si="4"/>
        <v>59</v>
      </c>
      <c r="Q42" s="21"/>
      <c r="R42" s="21"/>
      <c r="S42" s="21"/>
      <c r="T42" s="21"/>
      <c r="W42" s="21"/>
      <c r="X42" s="21"/>
      <c r="Y42" s="21"/>
    </row>
    <row r="43" spans="1:25" x14ac:dyDescent="0.25">
      <c r="A43" t="s">
        <v>93</v>
      </c>
      <c r="B43" s="4">
        <v>0</v>
      </c>
      <c r="C43">
        <v>20</v>
      </c>
      <c r="D43">
        <v>122</v>
      </c>
      <c r="E43" s="4">
        <v>138</v>
      </c>
      <c r="F43" s="5"/>
      <c r="G43" s="5"/>
      <c r="H43" s="5"/>
      <c r="I43" s="5"/>
      <c r="K43">
        <f t="shared" si="3"/>
        <v>70</v>
      </c>
      <c r="M43">
        <f t="shared" si="1"/>
        <v>70</v>
      </c>
      <c r="N43" s="5"/>
      <c r="Q43" s="21"/>
      <c r="R43" s="21"/>
      <c r="S43" s="21"/>
      <c r="T43" s="21"/>
      <c r="W43" s="21"/>
      <c r="X43" s="21"/>
      <c r="Y43" s="21"/>
    </row>
    <row r="44" spans="1:25" x14ac:dyDescent="0.25">
      <c r="A44" t="s">
        <v>110</v>
      </c>
      <c r="B44" s="4">
        <v>646</v>
      </c>
      <c r="C44" s="4">
        <v>608</v>
      </c>
      <c r="D44">
        <v>321</v>
      </c>
      <c r="E44" s="4">
        <v>687</v>
      </c>
      <c r="F44" s="4">
        <v>484</v>
      </c>
      <c r="G44" s="4">
        <v>471</v>
      </c>
      <c r="H44" s="4">
        <v>587</v>
      </c>
      <c r="I44" s="4">
        <v>492</v>
      </c>
      <c r="K44">
        <f t="shared" si="3"/>
        <v>537</v>
      </c>
      <c r="M44">
        <f t="shared" si="1"/>
        <v>565.5</v>
      </c>
      <c r="N44">
        <f t="shared" si="4"/>
        <v>508.5</v>
      </c>
      <c r="Q44" s="21"/>
      <c r="R44" s="21"/>
      <c r="S44" s="21"/>
      <c r="T44" s="21"/>
      <c r="W44" s="21"/>
      <c r="X44" s="21"/>
      <c r="Y44" s="21"/>
    </row>
    <row r="45" spans="1:25" x14ac:dyDescent="0.25">
      <c r="A45" t="s">
        <v>120</v>
      </c>
      <c r="B45" s="4">
        <v>207</v>
      </c>
      <c r="C45" s="4">
        <v>218</v>
      </c>
      <c r="D45">
        <v>118</v>
      </c>
      <c r="E45" s="5"/>
      <c r="F45" s="4">
        <v>315</v>
      </c>
      <c r="G45">
        <v>301</v>
      </c>
      <c r="H45">
        <v>95</v>
      </c>
      <c r="I45">
        <v>168</v>
      </c>
      <c r="K45">
        <f t="shared" si="3"/>
        <v>203.14285714285714</v>
      </c>
      <c r="M45">
        <f t="shared" si="1"/>
        <v>181</v>
      </c>
      <c r="N45">
        <f t="shared" si="4"/>
        <v>219.75</v>
      </c>
      <c r="Q45" s="21"/>
      <c r="R45" s="21"/>
      <c r="S45" s="21"/>
      <c r="T45" s="21"/>
      <c r="W45" s="21"/>
      <c r="X45" s="21"/>
      <c r="Y45" s="21"/>
    </row>
    <row r="46" spans="1:25" x14ac:dyDescent="0.25">
      <c r="A46" t="s">
        <v>125</v>
      </c>
      <c r="B46" s="4">
        <v>14</v>
      </c>
      <c r="C46" s="5"/>
      <c r="D46" s="5"/>
      <c r="E46" s="5"/>
      <c r="F46" s="4">
        <v>0</v>
      </c>
      <c r="G46">
        <v>9</v>
      </c>
      <c r="H46">
        <v>0</v>
      </c>
      <c r="I46">
        <v>0</v>
      </c>
      <c r="K46">
        <f t="shared" si="3"/>
        <v>4.5999999999999996</v>
      </c>
      <c r="M46">
        <f t="shared" si="1"/>
        <v>14</v>
      </c>
      <c r="N46">
        <f t="shared" si="4"/>
        <v>2.25</v>
      </c>
      <c r="Q46" s="21"/>
      <c r="R46" s="21"/>
      <c r="S46" s="21"/>
      <c r="T46" s="21"/>
      <c r="W46" s="21"/>
      <c r="X46" s="21"/>
      <c r="Y46" s="21"/>
    </row>
    <row r="47" spans="1:25" x14ac:dyDescent="0.25">
      <c r="A47" t="s">
        <v>130</v>
      </c>
      <c r="B47" s="5"/>
      <c r="C47" s="5"/>
      <c r="D47" s="5"/>
      <c r="E47" s="5"/>
      <c r="F47" s="5"/>
      <c r="G47">
        <v>415</v>
      </c>
      <c r="H47">
        <v>914</v>
      </c>
      <c r="I47">
        <v>789</v>
      </c>
      <c r="K47">
        <f t="shared" si="3"/>
        <v>706</v>
      </c>
      <c r="M47" s="5"/>
      <c r="N47">
        <f t="shared" si="4"/>
        <v>706</v>
      </c>
      <c r="Q47" s="21"/>
      <c r="R47" s="21"/>
      <c r="S47" s="21"/>
      <c r="T47" s="21"/>
      <c r="W47" s="21"/>
      <c r="X47" s="21"/>
      <c r="Y47" s="21"/>
    </row>
    <row r="48" spans="1:25" x14ac:dyDescent="0.25">
      <c r="A48" t="s">
        <v>145</v>
      </c>
      <c r="B48" s="4">
        <v>614</v>
      </c>
      <c r="C48" s="4">
        <v>75</v>
      </c>
      <c r="D48">
        <v>116</v>
      </c>
      <c r="E48">
        <v>751</v>
      </c>
      <c r="F48" s="4">
        <v>342</v>
      </c>
      <c r="G48" s="4">
        <v>382</v>
      </c>
      <c r="H48" s="4">
        <v>265</v>
      </c>
      <c r="I48" s="4">
        <v>341</v>
      </c>
      <c r="K48">
        <f t="shared" si="3"/>
        <v>360.75</v>
      </c>
      <c r="M48">
        <f t="shared" si="1"/>
        <v>389</v>
      </c>
      <c r="N48">
        <f t="shared" si="4"/>
        <v>332.5</v>
      </c>
      <c r="Q48" s="21"/>
      <c r="R48" s="21"/>
      <c r="S48" s="21"/>
      <c r="T48" s="21"/>
      <c r="W48" s="21"/>
      <c r="X48" s="21"/>
      <c r="Y48" s="21"/>
    </row>
    <row r="49" spans="1:25" x14ac:dyDescent="0.25">
      <c r="A49" t="s">
        <v>144</v>
      </c>
      <c r="B49" s="4">
        <v>163</v>
      </c>
      <c r="C49" s="5"/>
      <c r="D49" s="5"/>
      <c r="E49">
        <v>217</v>
      </c>
      <c r="F49" s="4">
        <v>56</v>
      </c>
      <c r="G49" s="4">
        <v>112</v>
      </c>
      <c r="H49" s="4">
        <v>220</v>
      </c>
      <c r="I49" s="5"/>
      <c r="K49">
        <f t="shared" si="3"/>
        <v>153.6</v>
      </c>
      <c r="M49">
        <f>AVERAGE(B49:F49)</f>
        <v>145.33333333333334</v>
      </c>
      <c r="N49">
        <f>AVERAGE(G49:I49)</f>
        <v>166</v>
      </c>
      <c r="Q49" s="21"/>
      <c r="R49" s="21"/>
      <c r="S49" s="21"/>
      <c r="T49" s="21"/>
      <c r="W49" s="21"/>
      <c r="X49" s="21"/>
      <c r="Y49" s="21"/>
    </row>
    <row r="50" spans="1:25" x14ac:dyDescent="0.25">
      <c r="A50" t="s">
        <v>132</v>
      </c>
      <c r="B50" s="4">
        <v>280</v>
      </c>
      <c r="C50">
        <v>369</v>
      </c>
      <c r="D50">
        <v>434</v>
      </c>
      <c r="E50">
        <v>523</v>
      </c>
      <c r="F50" s="4">
        <v>188</v>
      </c>
      <c r="G50" s="4">
        <v>253</v>
      </c>
      <c r="H50" s="5"/>
      <c r="I50" s="5"/>
      <c r="K50">
        <f t="shared" si="3"/>
        <v>341.16666666666669</v>
      </c>
      <c r="M50">
        <f t="shared" si="1"/>
        <v>401.5</v>
      </c>
      <c r="N50">
        <f t="shared" si="4"/>
        <v>220.5</v>
      </c>
      <c r="Q50" s="21"/>
      <c r="R50" s="21"/>
      <c r="S50" s="21"/>
      <c r="T50" s="21"/>
      <c r="W50" s="21"/>
      <c r="X50" s="21"/>
      <c r="Y50" s="21"/>
    </row>
    <row r="51" spans="1:25" x14ac:dyDescent="0.25">
      <c r="A51" t="s">
        <v>146</v>
      </c>
      <c r="B51" s="4">
        <v>650</v>
      </c>
      <c r="C51">
        <v>468</v>
      </c>
      <c r="D51">
        <v>509</v>
      </c>
      <c r="E51">
        <v>402</v>
      </c>
      <c r="F51" s="4">
        <v>358</v>
      </c>
      <c r="G51" s="4">
        <v>568</v>
      </c>
      <c r="H51" s="4">
        <v>772</v>
      </c>
      <c r="I51" s="4">
        <v>409</v>
      </c>
      <c r="K51">
        <f t="shared" si="3"/>
        <v>517</v>
      </c>
      <c r="M51">
        <f t="shared" si="1"/>
        <v>507.25</v>
      </c>
      <c r="N51">
        <f t="shared" si="4"/>
        <v>526.75</v>
      </c>
      <c r="Q51" s="21"/>
      <c r="R51" s="21"/>
      <c r="S51" s="21"/>
      <c r="T51" s="21"/>
      <c r="W51" s="21"/>
      <c r="X51" s="21"/>
      <c r="Y51" s="21"/>
    </row>
    <row r="52" spans="1:25" x14ac:dyDescent="0.25">
      <c r="A52" t="s">
        <v>147</v>
      </c>
      <c r="B52" s="4">
        <v>227</v>
      </c>
      <c r="C52">
        <v>87</v>
      </c>
      <c r="D52">
        <v>352</v>
      </c>
      <c r="E52">
        <v>125</v>
      </c>
      <c r="F52" s="4">
        <v>111</v>
      </c>
      <c r="G52" s="4">
        <v>177</v>
      </c>
      <c r="H52" s="5"/>
      <c r="I52" s="5"/>
      <c r="K52">
        <f t="shared" si="3"/>
        <v>179.83333333333334</v>
      </c>
      <c r="M52">
        <f t="shared" si="1"/>
        <v>197.75</v>
      </c>
      <c r="N52">
        <f t="shared" si="4"/>
        <v>144</v>
      </c>
      <c r="Q52" s="21"/>
      <c r="R52" s="21"/>
      <c r="S52" s="21"/>
      <c r="T52" s="21"/>
      <c r="W52" s="21"/>
      <c r="X52" s="21"/>
      <c r="Y52" s="21"/>
    </row>
    <row r="53" spans="1:25" x14ac:dyDescent="0.25">
      <c r="A53" t="s">
        <v>155</v>
      </c>
      <c r="B53" s="4">
        <v>229</v>
      </c>
      <c r="C53" s="5"/>
      <c r="D53">
        <v>268</v>
      </c>
      <c r="E53" s="5"/>
      <c r="F53" s="4">
        <v>323</v>
      </c>
      <c r="G53" s="4">
        <v>487</v>
      </c>
      <c r="H53" s="5"/>
      <c r="I53" s="4">
        <v>370</v>
      </c>
      <c r="K53">
        <f t="shared" si="3"/>
        <v>335.4</v>
      </c>
      <c r="M53">
        <f t="shared" si="1"/>
        <v>248.5</v>
      </c>
      <c r="N53">
        <f t="shared" si="4"/>
        <v>393.33333333333331</v>
      </c>
      <c r="Q53" s="21"/>
      <c r="R53" s="21"/>
      <c r="S53" s="21"/>
      <c r="T53" s="21"/>
      <c r="W53" s="21"/>
      <c r="X53" s="21"/>
      <c r="Y53" s="21"/>
    </row>
    <row r="54" spans="1:25" x14ac:dyDescent="0.25">
      <c r="A54" t="s">
        <v>158</v>
      </c>
      <c r="B54" s="4">
        <v>319</v>
      </c>
      <c r="C54">
        <v>314</v>
      </c>
      <c r="D54">
        <v>154</v>
      </c>
      <c r="E54">
        <v>185</v>
      </c>
      <c r="F54" s="4">
        <v>326</v>
      </c>
      <c r="G54" s="5"/>
      <c r="H54" s="4">
        <v>397</v>
      </c>
      <c r="I54" s="4">
        <v>124</v>
      </c>
      <c r="K54">
        <f t="shared" si="3"/>
        <v>259.85714285714283</v>
      </c>
      <c r="M54">
        <f t="shared" si="1"/>
        <v>243</v>
      </c>
      <c r="N54">
        <f t="shared" si="4"/>
        <v>282.33333333333331</v>
      </c>
      <c r="Q54" s="21"/>
      <c r="R54" s="21"/>
      <c r="S54" s="21"/>
      <c r="T54" s="21"/>
      <c r="W54" s="21"/>
      <c r="X54" s="21"/>
      <c r="Y54" s="21"/>
    </row>
    <row r="55" spans="1:25" x14ac:dyDescent="0.25">
      <c r="A55" t="s">
        <v>162</v>
      </c>
      <c r="B55" s="4">
        <v>0</v>
      </c>
      <c r="C55">
        <v>0</v>
      </c>
      <c r="D55">
        <v>4</v>
      </c>
      <c r="E55">
        <v>44</v>
      </c>
      <c r="F55" s="4">
        <v>10</v>
      </c>
      <c r="G55" s="4">
        <v>75</v>
      </c>
      <c r="H55" s="4">
        <v>14</v>
      </c>
      <c r="I55" s="4">
        <v>0</v>
      </c>
      <c r="K55">
        <f t="shared" si="3"/>
        <v>18.375</v>
      </c>
      <c r="M55">
        <f t="shared" si="1"/>
        <v>12</v>
      </c>
      <c r="N55">
        <f t="shared" si="4"/>
        <v>24.75</v>
      </c>
      <c r="Q55" s="21"/>
      <c r="R55" s="21"/>
      <c r="S55" s="21"/>
      <c r="T55" s="21"/>
      <c r="W55" s="21"/>
      <c r="X55" s="21"/>
      <c r="Y55" s="21"/>
    </row>
    <row r="56" spans="1:25" x14ac:dyDescent="0.25">
      <c r="A56" t="s">
        <v>160</v>
      </c>
      <c r="B56" s="4">
        <v>521</v>
      </c>
      <c r="C56">
        <v>400</v>
      </c>
      <c r="D56">
        <v>805</v>
      </c>
      <c r="E56">
        <v>1620</v>
      </c>
      <c r="F56" s="5"/>
      <c r="G56" s="4">
        <v>810</v>
      </c>
      <c r="H56" s="4">
        <v>594</v>
      </c>
      <c r="I56" s="5"/>
      <c r="K56">
        <f t="shared" si="3"/>
        <v>791.66666666666663</v>
      </c>
      <c r="M56">
        <f t="shared" ref="M56:M61" si="5">AVERAGE(B56:E56)</f>
        <v>836.5</v>
      </c>
      <c r="N56">
        <f t="shared" si="4"/>
        <v>702</v>
      </c>
      <c r="Q56" s="21"/>
      <c r="R56" s="21"/>
      <c r="S56" s="21"/>
      <c r="T56" s="21"/>
      <c r="W56" s="21"/>
      <c r="X56" s="21"/>
      <c r="Y56" s="21"/>
    </row>
    <row r="57" spans="1:25" x14ac:dyDescent="0.25">
      <c r="A57" t="s">
        <v>173</v>
      </c>
      <c r="B57" s="4">
        <v>0</v>
      </c>
      <c r="C57">
        <v>75</v>
      </c>
      <c r="D57">
        <v>52</v>
      </c>
      <c r="E57">
        <v>49</v>
      </c>
      <c r="F57" s="4">
        <v>2</v>
      </c>
      <c r="G57" s="4">
        <v>17</v>
      </c>
      <c r="H57" s="4">
        <v>134</v>
      </c>
      <c r="I57" s="5"/>
      <c r="K57">
        <f t="shared" si="3"/>
        <v>47</v>
      </c>
      <c r="M57">
        <f t="shared" si="5"/>
        <v>44</v>
      </c>
      <c r="N57">
        <f t="shared" si="4"/>
        <v>51</v>
      </c>
    </row>
    <row r="58" spans="1:25" x14ac:dyDescent="0.25">
      <c r="A58" t="s">
        <v>174</v>
      </c>
      <c r="B58" s="4">
        <v>245</v>
      </c>
      <c r="C58">
        <v>359</v>
      </c>
      <c r="D58">
        <v>232</v>
      </c>
      <c r="E58">
        <v>1055</v>
      </c>
      <c r="F58" s="5"/>
      <c r="G58" s="5"/>
      <c r="H58" s="5"/>
      <c r="I58" s="5"/>
      <c r="K58">
        <f t="shared" si="3"/>
        <v>472.75</v>
      </c>
      <c r="M58">
        <f t="shared" si="5"/>
        <v>472.75</v>
      </c>
      <c r="N58" s="5"/>
      <c r="O58" s="5" t="s">
        <v>248</v>
      </c>
    </row>
    <row r="59" spans="1:25" x14ac:dyDescent="0.25">
      <c r="A59" t="s">
        <v>175</v>
      </c>
      <c r="B59" s="4">
        <v>335</v>
      </c>
      <c r="C59">
        <v>39</v>
      </c>
      <c r="D59">
        <v>101</v>
      </c>
      <c r="E59">
        <v>170</v>
      </c>
      <c r="F59" s="4">
        <v>185</v>
      </c>
      <c r="G59" s="4">
        <v>24</v>
      </c>
      <c r="H59" s="4">
        <v>12</v>
      </c>
      <c r="I59" s="4">
        <v>79</v>
      </c>
      <c r="K59">
        <f t="shared" si="3"/>
        <v>118.125</v>
      </c>
      <c r="M59">
        <f t="shared" si="5"/>
        <v>161.25</v>
      </c>
      <c r="N59">
        <f t="shared" si="4"/>
        <v>75</v>
      </c>
    </row>
    <row r="60" spans="1:25" x14ac:dyDescent="0.25">
      <c r="A60" t="s">
        <v>187</v>
      </c>
      <c r="B60" s="5"/>
      <c r="C60" s="5"/>
      <c r="D60" s="5"/>
      <c r="E60">
        <v>113</v>
      </c>
      <c r="F60" s="4">
        <v>58</v>
      </c>
      <c r="G60" s="4">
        <v>156</v>
      </c>
      <c r="H60" s="4">
        <v>206</v>
      </c>
      <c r="I60" s="4">
        <v>59</v>
      </c>
      <c r="K60">
        <f t="shared" si="3"/>
        <v>118.4</v>
      </c>
      <c r="M60">
        <f t="shared" si="5"/>
        <v>113</v>
      </c>
      <c r="N60">
        <f t="shared" si="4"/>
        <v>119.75</v>
      </c>
    </row>
    <row r="61" spans="1:25" x14ac:dyDescent="0.25">
      <c r="A61" t="s">
        <v>186</v>
      </c>
      <c r="B61" s="5"/>
      <c r="C61" s="5"/>
      <c r="D61">
        <v>157</v>
      </c>
      <c r="E61" s="5"/>
      <c r="F61" s="4">
        <v>130</v>
      </c>
      <c r="G61" s="5"/>
      <c r="H61" s="4">
        <v>19</v>
      </c>
      <c r="I61" s="4">
        <v>183</v>
      </c>
      <c r="K61">
        <f t="shared" si="3"/>
        <v>122.25</v>
      </c>
      <c r="M61">
        <f t="shared" si="5"/>
        <v>157</v>
      </c>
      <c r="N61">
        <f t="shared" si="4"/>
        <v>110.66666666666667</v>
      </c>
    </row>
    <row r="63" spans="1:25" x14ac:dyDescent="0.25">
      <c r="J63" s="25"/>
      <c r="K63" s="37"/>
      <c r="L63" s="37"/>
      <c r="M63" s="37"/>
      <c r="N63" s="37"/>
    </row>
    <row r="65" spans="10:14" x14ac:dyDescent="0.25">
      <c r="J65" s="25"/>
      <c r="K65" s="25"/>
      <c r="L65" s="25"/>
      <c r="M65" s="25"/>
      <c r="N65" s="25"/>
    </row>
    <row r="66" spans="10:14" x14ac:dyDescent="0.25">
      <c r="J66" s="25"/>
      <c r="K66" s="25"/>
      <c r="L66" s="25"/>
      <c r="M66" s="25"/>
      <c r="N66" s="25"/>
    </row>
    <row r="67" spans="10:14" x14ac:dyDescent="0.25">
      <c r="K67" s="25"/>
      <c r="L67" s="25"/>
      <c r="M67" s="25"/>
      <c r="N67" s="25"/>
    </row>
    <row r="68" spans="10:14" x14ac:dyDescent="0.25">
      <c r="J68" s="25"/>
      <c r="K68" s="25"/>
      <c r="L68" s="25"/>
      <c r="M68" s="25"/>
      <c r="N68" s="25"/>
    </row>
    <row r="69" spans="10:14" x14ac:dyDescent="0.25">
      <c r="J69" s="25"/>
      <c r="K69" s="25"/>
      <c r="L69" s="25"/>
      <c r="M69" s="25"/>
      <c r="N69" s="25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AA69"/>
  <sheetViews>
    <sheetView zoomScale="55" zoomScaleNormal="55" workbookViewId="0">
      <selection activeCell="Y46" sqref="Y46"/>
    </sheetView>
  </sheetViews>
  <sheetFormatPr defaultRowHeight="15" x14ac:dyDescent="0.25"/>
  <cols>
    <col min="17" max="19" width="9.140625" style="20"/>
    <col min="20" max="21" width="9.140625" style="21"/>
    <col min="22" max="27" width="9.140625" style="20"/>
  </cols>
  <sheetData>
    <row r="1" spans="1:20" s="25" customFormat="1" x14ac:dyDescent="0.25">
      <c r="A1" s="25" t="s">
        <v>0</v>
      </c>
      <c r="B1" s="25" t="s">
        <v>194</v>
      </c>
      <c r="C1" s="25" t="s">
        <v>195</v>
      </c>
      <c r="D1" s="25" t="s">
        <v>196</v>
      </c>
      <c r="E1" s="25" t="s">
        <v>197</v>
      </c>
      <c r="F1" s="25" t="s">
        <v>238</v>
      </c>
      <c r="G1" s="25" t="s">
        <v>239</v>
      </c>
      <c r="H1" s="25" t="s">
        <v>240</v>
      </c>
      <c r="I1" s="25" t="s">
        <v>241</v>
      </c>
      <c r="K1" s="25" t="s">
        <v>242</v>
      </c>
      <c r="M1" s="25" t="s">
        <v>243</v>
      </c>
      <c r="N1" s="25" t="s">
        <v>244</v>
      </c>
      <c r="T1" s="29"/>
    </row>
    <row r="2" spans="1:20" x14ac:dyDescent="0.25">
      <c r="A2" s="4" t="s">
        <v>3</v>
      </c>
      <c r="B2">
        <v>0</v>
      </c>
      <c r="C2">
        <v>48</v>
      </c>
      <c r="D2">
        <v>75</v>
      </c>
      <c r="E2">
        <v>0</v>
      </c>
      <c r="F2">
        <v>0</v>
      </c>
      <c r="G2">
        <v>49</v>
      </c>
      <c r="H2">
        <v>0</v>
      </c>
      <c r="I2">
        <v>14</v>
      </c>
      <c r="K2">
        <f>(AVERAGE(B2:I2))</f>
        <v>23.25</v>
      </c>
      <c r="M2">
        <f>AVERAGE(B2:E2)</f>
        <v>30.75</v>
      </c>
      <c r="N2">
        <f>AVERAGE(F2:I2)</f>
        <v>15.75</v>
      </c>
      <c r="R2" s="5"/>
      <c r="S2" t="s">
        <v>247</v>
      </c>
    </row>
    <row r="3" spans="1:20" x14ac:dyDescent="0.25">
      <c r="A3" s="4" t="s">
        <v>13</v>
      </c>
      <c r="B3">
        <v>213</v>
      </c>
      <c r="C3">
        <v>79</v>
      </c>
      <c r="D3">
        <v>0</v>
      </c>
      <c r="E3">
        <v>0</v>
      </c>
      <c r="F3">
        <v>8</v>
      </c>
      <c r="G3">
        <v>0</v>
      </c>
      <c r="H3">
        <v>82</v>
      </c>
      <c r="I3">
        <v>58</v>
      </c>
      <c r="K3">
        <f t="shared" ref="K3:K53" si="0">(AVERAGE(B3:I3))</f>
        <v>55</v>
      </c>
      <c r="M3">
        <f t="shared" ref="M3:M53" si="1">AVERAGE(B3:E3)</f>
        <v>73</v>
      </c>
      <c r="N3">
        <f t="shared" ref="N3:N53" si="2">AVERAGE(F3:I3)</f>
        <v>37</v>
      </c>
    </row>
    <row r="4" spans="1:20" x14ac:dyDescent="0.25">
      <c r="A4" s="4" t="s">
        <v>68</v>
      </c>
      <c r="B4">
        <v>0</v>
      </c>
      <c r="C4" s="5"/>
      <c r="D4" s="5"/>
      <c r="E4" s="5"/>
      <c r="F4" s="4">
        <v>72</v>
      </c>
      <c r="G4" s="5"/>
      <c r="H4" s="4">
        <v>101</v>
      </c>
      <c r="I4" s="4">
        <v>0</v>
      </c>
      <c r="K4">
        <f t="shared" si="0"/>
        <v>43.25</v>
      </c>
      <c r="M4">
        <f t="shared" si="1"/>
        <v>0</v>
      </c>
      <c r="N4">
        <f t="shared" si="2"/>
        <v>57.666666666666664</v>
      </c>
    </row>
    <row r="5" spans="1:20" x14ac:dyDescent="0.25">
      <c r="A5" s="4" t="s">
        <v>69</v>
      </c>
      <c r="B5">
        <v>49</v>
      </c>
      <c r="C5">
        <v>200</v>
      </c>
      <c r="D5">
        <v>67</v>
      </c>
      <c r="E5">
        <v>97</v>
      </c>
      <c r="F5" s="5"/>
      <c r="G5" s="5"/>
      <c r="H5" s="5"/>
      <c r="I5" s="5"/>
      <c r="K5">
        <f t="shared" si="0"/>
        <v>103.25</v>
      </c>
      <c r="M5">
        <f t="shared" si="1"/>
        <v>103.25</v>
      </c>
      <c r="N5" s="5"/>
    </row>
    <row r="6" spans="1:20" x14ac:dyDescent="0.25">
      <c r="A6" s="4" t="s">
        <v>70</v>
      </c>
      <c r="B6">
        <v>5</v>
      </c>
      <c r="C6">
        <v>5</v>
      </c>
      <c r="D6">
        <v>0</v>
      </c>
      <c r="E6">
        <v>0</v>
      </c>
      <c r="F6" s="4">
        <v>5</v>
      </c>
      <c r="G6" s="4">
        <v>23</v>
      </c>
      <c r="H6" s="4">
        <v>5</v>
      </c>
      <c r="I6" s="4">
        <v>0</v>
      </c>
      <c r="K6">
        <f t="shared" si="0"/>
        <v>5.375</v>
      </c>
      <c r="M6">
        <f t="shared" si="1"/>
        <v>2.5</v>
      </c>
      <c r="N6">
        <f t="shared" si="2"/>
        <v>8.25</v>
      </c>
    </row>
    <row r="7" spans="1:20" x14ac:dyDescent="0.25">
      <c r="A7" s="4" t="s">
        <v>74</v>
      </c>
      <c r="B7" s="5"/>
      <c r="C7">
        <v>278</v>
      </c>
      <c r="D7">
        <v>81</v>
      </c>
      <c r="E7" s="5"/>
      <c r="F7" s="4">
        <v>53</v>
      </c>
      <c r="G7" s="4">
        <v>219</v>
      </c>
      <c r="H7" s="4">
        <v>211</v>
      </c>
      <c r="I7" s="4">
        <v>155</v>
      </c>
      <c r="K7">
        <f t="shared" si="0"/>
        <v>166.16666666666666</v>
      </c>
      <c r="M7">
        <f t="shared" si="1"/>
        <v>179.5</v>
      </c>
      <c r="N7">
        <f t="shared" si="2"/>
        <v>159.5</v>
      </c>
    </row>
    <row r="8" spans="1:20" x14ac:dyDescent="0.25">
      <c r="A8" s="4" t="s">
        <v>79</v>
      </c>
      <c r="B8">
        <v>88</v>
      </c>
      <c r="C8">
        <v>234</v>
      </c>
      <c r="D8">
        <v>279</v>
      </c>
      <c r="E8">
        <v>312</v>
      </c>
      <c r="F8" s="4">
        <v>214</v>
      </c>
      <c r="G8" s="4">
        <v>142</v>
      </c>
      <c r="H8" s="4">
        <v>188</v>
      </c>
      <c r="I8" s="4">
        <v>90</v>
      </c>
      <c r="K8">
        <f t="shared" si="0"/>
        <v>193.375</v>
      </c>
      <c r="M8">
        <f t="shared" si="1"/>
        <v>228.25</v>
      </c>
      <c r="N8">
        <f t="shared" si="2"/>
        <v>158.5</v>
      </c>
    </row>
    <row r="9" spans="1:20" x14ac:dyDescent="0.25">
      <c r="A9" s="4" t="s">
        <v>80</v>
      </c>
      <c r="B9">
        <v>424</v>
      </c>
      <c r="C9">
        <v>399</v>
      </c>
      <c r="D9">
        <v>597</v>
      </c>
      <c r="E9">
        <v>10</v>
      </c>
      <c r="F9" s="5"/>
      <c r="G9" s="5"/>
      <c r="H9" s="4">
        <v>0</v>
      </c>
      <c r="I9" s="4">
        <v>282</v>
      </c>
      <c r="K9">
        <f t="shared" si="0"/>
        <v>285.33333333333331</v>
      </c>
      <c r="M9">
        <f t="shared" si="1"/>
        <v>357.5</v>
      </c>
      <c r="N9">
        <f t="shared" si="2"/>
        <v>141</v>
      </c>
    </row>
    <row r="10" spans="1:20" x14ac:dyDescent="0.25">
      <c r="A10" s="4" t="s">
        <v>86</v>
      </c>
      <c r="B10">
        <v>0</v>
      </c>
      <c r="C10">
        <v>29</v>
      </c>
      <c r="D10">
        <v>0</v>
      </c>
      <c r="E10">
        <v>130</v>
      </c>
      <c r="F10" s="4">
        <v>215</v>
      </c>
      <c r="G10" s="4">
        <v>29</v>
      </c>
      <c r="H10" s="5"/>
      <c r="I10" s="4">
        <v>5</v>
      </c>
      <c r="K10">
        <f t="shared" si="0"/>
        <v>58.285714285714285</v>
      </c>
      <c r="M10">
        <f>AVERAGE(B10:E10)</f>
        <v>39.75</v>
      </c>
      <c r="N10">
        <f t="shared" si="2"/>
        <v>83</v>
      </c>
    </row>
    <row r="11" spans="1:20" x14ac:dyDescent="0.25">
      <c r="A11" s="4" t="s">
        <v>92</v>
      </c>
      <c r="B11" s="5"/>
      <c r="C11">
        <v>11</v>
      </c>
      <c r="D11" s="5"/>
      <c r="E11">
        <v>0</v>
      </c>
      <c r="F11" s="5"/>
      <c r="G11" s="5"/>
      <c r="H11" s="5"/>
      <c r="I11" s="5"/>
      <c r="K11">
        <f>(AVERAGE(B11:I11))</f>
        <v>5.5</v>
      </c>
      <c r="M11">
        <f t="shared" ref="M11" si="3">AVERAGE(B11:E11)</f>
        <v>5.5</v>
      </c>
      <c r="N11" s="5"/>
    </row>
    <row r="12" spans="1:20" x14ac:dyDescent="0.25">
      <c r="A12" s="4" t="s">
        <v>93</v>
      </c>
      <c r="B12">
        <v>0</v>
      </c>
      <c r="C12">
        <v>0</v>
      </c>
      <c r="D12">
        <v>0</v>
      </c>
      <c r="E12">
        <v>42</v>
      </c>
      <c r="F12" s="5"/>
      <c r="G12" s="5"/>
      <c r="H12" s="5"/>
      <c r="I12" s="5"/>
      <c r="K12">
        <f t="shared" si="0"/>
        <v>10.5</v>
      </c>
      <c r="M12">
        <f t="shared" si="1"/>
        <v>10.5</v>
      </c>
      <c r="N12" s="5"/>
    </row>
    <row r="13" spans="1:20" x14ac:dyDescent="0.25">
      <c r="A13" s="4" t="s">
        <v>110</v>
      </c>
      <c r="B13">
        <v>171</v>
      </c>
      <c r="C13">
        <v>140</v>
      </c>
      <c r="D13">
        <v>56</v>
      </c>
      <c r="E13">
        <v>440</v>
      </c>
      <c r="F13">
        <v>80</v>
      </c>
      <c r="G13">
        <v>66</v>
      </c>
      <c r="H13">
        <v>0</v>
      </c>
      <c r="I13" s="4">
        <v>101</v>
      </c>
      <c r="K13">
        <f t="shared" si="0"/>
        <v>131.75</v>
      </c>
      <c r="M13">
        <f t="shared" si="1"/>
        <v>201.75</v>
      </c>
      <c r="N13">
        <f t="shared" si="2"/>
        <v>61.75</v>
      </c>
    </row>
    <row r="14" spans="1:20" x14ac:dyDescent="0.25">
      <c r="A14" s="4" t="s">
        <v>120</v>
      </c>
      <c r="B14">
        <v>11</v>
      </c>
      <c r="C14" s="5"/>
      <c r="D14">
        <v>42</v>
      </c>
      <c r="E14" s="5"/>
      <c r="F14">
        <v>0</v>
      </c>
      <c r="G14" s="4">
        <v>47</v>
      </c>
      <c r="H14" s="4">
        <v>336</v>
      </c>
      <c r="I14" s="4">
        <v>42</v>
      </c>
      <c r="K14">
        <f t="shared" si="0"/>
        <v>79.666666666666671</v>
      </c>
      <c r="M14">
        <f t="shared" si="1"/>
        <v>26.5</v>
      </c>
      <c r="N14">
        <f t="shared" si="2"/>
        <v>106.25</v>
      </c>
    </row>
    <row r="15" spans="1:20" x14ac:dyDescent="0.25">
      <c r="A15" s="4" t="s">
        <v>125</v>
      </c>
      <c r="B15">
        <v>0</v>
      </c>
      <c r="C15">
        <v>0</v>
      </c>
      <c r="D15">
        <v>0</v>
      </c>
      <c r="E15">
        <v>0</v>
      </c>
      <c r="F15" s="5"/>
      <c r="G15" s="4">
        <v>0</v>
      </c>
      <c r="H15" s="4">
        <v>0</v>
      </c>
      <c r="I15" s="4">
        <v>0</v>
      </c>
      <c r="K15">
        <f t="shared" si="0"/>
        <v>0</v>
      </c>
      <c r="M15">
        <f>AVERAGE(B15:E15)</f>
        <v>0</v>
      </c>
      <c r="N15">
        <f t="shared" si="2"/>
        <v>0</v>
      </c>
    </row>
    <row r="16" spans="1:20" x14ac:dyDescent="0.25">
      <c r="A16" t="s">
        <v>130</v>
      </c>
      <c r="B16" s="5"/>
      <c r="C16" s="5"/>
      <c r="D16" s="5"/>
      <c r="E16" s="5"/>
      <c r="F16">
        <v>8</v>
      </c>
      <c r="G16" s="4">
        <v>5</v>
      </c>
      <c r="H16" s="4">
        <v>20</v>
      </c>
      <c r="I16" s="4">
        <v>93</v>
      </c>
      <c r="K16">
        <f t="shared" si="0"/>
        <v>31.5</v>
      </c>
      <c r="M16" s="5"/>
      <c r="N16">
        <f t="shared" si="2"/>
        <v>31.5</v>
      </c>
    </row>
    <row r="17" spans="1:27" x14ac:dyDescent="0.25">
      <c r="A17" t="s">
        <v>145</v>
      </c>
      <c r="B17">
        <v>196</v>
      </c>
      <c r="C17">
        <v>214</v>
      </c>
      <c r="D17">
        <v>6</v>
      </c>
      <c r="E17" s="5"/>
      <c r="F17" s="5"/>
      <c r="G17" s="4">
        <v>6</v>
      </c>
      <c r="H17" s="4">
        <v>255</v>
      </c>
      <c r="I17" s="4">
        <v>52</v>
      </c>
      <c r="K17">
        <f t="shared" si="0"/>
        <v>121.5</v>
      </c>
      <c r="M17">
        <f t="shared" si="1"/>
        <v>138.66666666666666</v>
      </c>
      <c r="N17">
        <f t="shared" si="2"/>
        <v>104.33333333333333</v>
      </c>
    </row>
    <row r="18" spans="1:27" x14ac:dyDescent="0.25">
      <c r="A18" t="s">
        <v>144</v>
      </c>
      <c r="B18">
        <v>239</v>
      </c>
      <c r="C18" s="4">
        <v>304</v>
      </c>
      <c r="D18">
        <v>0</v>
      </c>
      <c r="E18">
        <v>237</v>
      </c>
      <c r="F18">
        <v>27</v>
      </c>
      <c r="G18" s="4">
        <v>196</v>
      </c>
      <c r="H18" s="5"/>
      <c r="I18" s="4">
        <v>6</v>
      </c>
      <c r="K18">
        <f t="shared" si="0"/>
        <v>144.14285714285714</v>
      </c>
      <c r="M18">
        <f t="shared" si="1"/>
        <v>195</v>
      </c>
      <c r="N18">
        <f t="shared" si="2"/>
        <v>76.333333333333329</v>
      </c>
    </row>
    <row r="19" spans="1:27" x14ac:dyDescent="0.25">
      <c r="A19" t="s">
        <v>132</v>
      </c>
      <c r="B19">
        <v>88</v>
      </c>
      <c r="C19" s="4">
        <v>0</v>
      </c>
      <c r="D19">
        <v>170</v>
      </c>
      <c r="E19">
        <v>0</v>
      </c>
      <c r="F19" s="4">
        <v>282</v>
      </c>
      <c r="G19" s="4">
        <v>6</v>
      </c>
      <c r="H19" s="4">
        <v>30</v>
      </c>
      <c r="I19" s="4">
        <v>105</v>
      </c>
      <c r="J19" s="4"/>
      <c r="K19">
        <f t="shared" si="0"/>
        <v>85.125</v>
      </c>
      <c r="M19">
        <f t="shared" si="1"/>
        <v>64.5</v>
      </c>
      <c r="N19">
        <f t="shared" si="2"/>
        <v>105.75</v>
      </c>
    </row>
    <row r="20" spans="1:27" x14ac:dyDescent="0.25">
      <c r="A20" t="s">
        <v>146</v>
      </c>
      <c r="B20">
        <v>188</v>
      </c>
      <c r="C20" s="4">
        <v>26</v>
      </c>
      <c r="D20">
        <v>195</v>
      </c>
      <c r="E20">
        <v>43</v>
      </c>
      <c r="F20" s="4">
        <v>91</v>
      </c>
      <c r="G20" s="4">
        <v>214</v>
      </c>
      <c r="H20" s="4">
        <v>275</v>
      </c>
      <c r="I20" s="4">
        <v>166</v>
      </c>
      <c r="K20">
        <f t="shared" si="0"/>
        <v>149.75</v>
      </c>
      <c r="M20">
        <f t="shared" si="1"/>
        <v>113</v>
      </c>
      <c r="N20">
        <f t="shared" si="2"/>
        <v>186.5</v>
      </c>
    </row>
    <row r="21" spans="1:27" x14ac:dyDescent="0.25">
      <c r="A21" t="s">
        <v>147</v>
      </c>
      <c r="B21">
        <v>0</v>
      </c>
      <c r="C21" s="4">
        <v>4</v>
      </c>
      <c r="D21">
        <v>0</v>
      </c>
      <c r="E21">
        <v>0</v>
      </c>
      <c r="F21" s="4">
        <v>0</v>
      </c>
      <c r="G21" s="4">
        <v>31</v>
      </c>
      <c r="H21" s="4">
        <v>36</v>
      </c>
      <c r="I21" s="4">
        <v>0</v>
      </c>
      <c r="K21">
        <f t="shared" si="0"/>
        <v>8.875</v>
      </c>
      <c r="M21">
        <f t="shared" si="1"/>
        <v>1</v>
      </c>
      <c r="N21">
        <f t="shared" si="2"/>
        <v>16.75</v>
      </c>
    </row>
    <row r="22" spans="1:27" x14ac:dyDescent="0.25">
      <c r="A22" t="s">
        <v>155</v>
      </c>
      <c r="B22">
        <v>0</v>
      </c>
      <c r="C22" s="4">
        <v>0</v>
      </c>
      <c r="D22">
        <v>541</v>
      </c>
      <c r="E22">
        <v>34</v>
      </c>
      <c r="F22" s="4">
        <v>13</v>
      </c>
      <c r="G22" s="4">
        <v>137</v>
      </c>
      <c r="H22" s="4">
        <v>401</v>
      </c>
      <c r="I22" s="5"/>
      <c r="K22">
        <f t="shared" si="0"/>
        <v>160.85714285714286</v>
      </c>
      <c r="M22">
        <f t="shared" si="1"/>
        <v>143.75</v>
      </c>
      <c r="N22">
        <f t="shared" si="2"/>
        <v>183.66666666666666</v>
      </c>
    </row>
    <row r="23" spans="1:27" x14ac:dyDescent="0.25">
      <c r="A23" t="s">
        <v>158</v>
      </c>
      <c r="B23">
        <v>137</v>
      </c>
      <c r="C23" s="4">
        <v>20</v>
      </c>
      <c r="D23">
        <v>0</v>
      </c>
      <c r="E23">
        <v>230</v>
      </c>
      <c r="F23" s="5"/>
      <c r="G23" s="4">
        <v>80</v>
      </c>
      <c r="H23" s="4">
        <v>347</v>
      </c>
      <c r="I23" s="4">
        <v>85</v>
      </c>
      <c r="K23">
        <f t="shared" si="0"/>
        <v>128.42857142857142</v>
      </c>
      <c r="M23">
        <f t="shared" si="1"/>
        <v>96.75</v>
      </c>
      <c r="N23">
        <f t="shared" si="2"/>
        <v>170.66666666666666</v>
      </c>
    </row>
    <row r="24" spans="1:27" x14ac:dyDescent="0.25">
      <c r="A24" t="s">
        <v>162</v>
      </c>
      <c r="B24">
        <v>0</v>
      </c>
      <c r="C24" s="4">
        <v>0</v>
      </c>
      <c r="D24" s="5"/>
      <c r="E24" s="5"/>
      <c r="F24" s="4">
        <v>0</v>
      </c>
      <c r="G24" s="4">
        <v>0</v>
      </c>
      <c r="H24" s="4">
        <v>0</v>
      </c>
      <c r="I24" s="4">
        <v>0</v>
      </c>
      <c r="K24">
        <f t="shared" si="0"/>
        <v>0</v>
      </c>
      <c r="M24">
        <f t="shared" si="1"/>
        <v>0</v>
      </c>
      <c r="N24">
        <f t="shared" si="2"/>
        <v>0</v>
      </c>
    </row>
    <row r="25" spans="1:27" x14ac:dyDescent="0.25">
      <c r="A25" t="s">
        <v>160</v>
      </c>
      <c r="B25">
        <v>202</v>
      </c>
      <c r="C25" s="4">
        <v>46</v>
      </c>
      <c r="D25">
        <v>148</v>
      </c>
      <c r="E25">
        <v>184</v>
      </c>
      <c r="F25" s="5"/>
      <c r="G25" s="4">
        <v>23</v>
      </c>
      <c r="H25" s="4">
        <v>299</v>
      </c>
      <c r="I25" s="4">
        <v>168</v>
      </c>
      <c r="K25">
        <f t="shared" si="0"/>
        <v>152.85714285714286</v>
      </c>
      <c r="M25">
        <f t="shared" si="1"/>
        <v>145</v>
      </c>
      <c r="N25">
        <f t="shared" si="2"/>
        <v>163.33333333333334</v>
      </c>
    </row>
    <row r="26" spans="1:27" x14ac:dyDescent="0.25">
      <c r="A26" t="s">
        <v>173</v>
      </c>
      <c r="B26">
        <v>0</v>
      </c>
      <c r="C26" s="4">
        <v>0</v>
      </c>
      <c r="D26">
        <v>0</v>
      </c>
      <c r="E26">
        <v>12</v>
      </c>
      <c r="F26" s="5"/>
      <c r="G26" s="4">
        <v>0</v>
      </c>
      <c r="H26" s="5"/>
      <c r="I26" s="5"/>
      <c r="K26">
        <f t="shared" si="0"/>
        <v>2.4</v>
      </c>
      <c r="M26">
        <f t="shared" si="1"/>
        <v>3</v>
      </c>
      <c r="N26">
        <f t="shared" si="2"/>
        <v>0</v>
      </c>
    </row>
    <row r="27" spans="1:27" x14ac:dyDescent="0.25">
      <c r="A27" t="s">
        <v>174</v>
      </c>
      <c r="B27">
        <v>0</v>
      </c>
      <c r="C27" s="4">
        <v>73</v>
      </c>
      <c r="D27">
        <v>24</v>
      </c>
      <c r="E27" s="5"/>
      <c r="F27">
        <v>0</v>
      </c>
      <c r="G27" s="4">
        <v>0</v>
      </c>
      <c r="H27" s="5"/>
      <c r="I27" s="5"/>
      <c r="K27">
        <f t="shared" si="0"/>
        <v>19.399999999999999</v>
      </c>
      <c r="M27">
        <f t="shared" si="1"/>
        <v>32.333333333333336</v>
      </c>
      <c r="N27">
        <f t="shared" si="2"/>
        <v>0</v>
      </c>
    </row>
    <row r="28" spans="1:27" x14ac:dyDescent="0.25">
      <c r="A28" t="s">
        <v>175</v>
      </c>
      <c r="B28">
        <v>0</v>
      </c>
      <c r="C28" s="4">
        <v>0</v>
      </c>
      <c r="D28">
        <v>0</v>
      </c>
      <c r="E28">
        <v>31</v>
      </c>
      <c r="F28">
        <v>37</v>
      </c>
      <c r="G28" s="4">
        <v>6</v>
      </c>
      <c r="H28" s="4">
        <v>221</v>
      </c>
      <c r="I28" s="4">
        <v>75</v>
      </c>
      <c r="K28">
        <f t="shared" si="0"/>
        <v>46.25</v>
      </c>
      <c r="M28">
        <f t="shared" si="1"/>
        <v>7.75</v>
      </c>
      <c r="N28">
        <f t="shared" si="2"/>
        <v>84.75</v>
      </c>
    </row>
    <row r="29" spans="1:27" x14ac:dyDescent="0.25">
      <c r="A29" t="s">
        <v>187</v>
      </c>
      <c r="B29">
        <v>0</v>
      </c>
      <c r="C29" s="4">
        <v>0</v>
      </c>
      <c r="D29">
        <v>16</v>
      </c>
      <c r="E29">
        <v>0</v>
      </c>
      <c r="F29">
        <v>0</v>
      </c>
      <c r="G29" s="4">
        <v>0</v>
      </c>
      <c r="H29" s="4">
        <v>32</v>
      </c>
      <c r="I29" s="4">
        <v>0</v>
      </c>
      <c r="K29">
        <f t="shared" si="0"/>
        <v>6</v>
      </c>
      <c r="M29">
        <f t="shared" si="1"/>
        <v>4</v>
      </c>
      <c r="N29">
        <f t="shared" si="2"/>
        <v>8</v>
      </c>
    </row>
    <row r="30" spans="1:27" x14ac:dyDescent="0.25">
      <c r="A30" t="s">
        <v>186</v>
      </c>
      <c r="B30">
        <v>0</v>
      </c>
      <c r="C30">
        <v>0</v>
      </c>
      <c r="D30">
        <v>0</v>
      </c>
      <c r="E30">
        <v>166</v>
      </c>
      <c r="F30">
        <v>0</v>
      </c>
      <c r="G30">
        <v>0</v>
      </c>
      <c r="H30" s="5"/>
      <c r="I30">
        <v>100</v>
      </c>
      <c r="K30">
        <f t="shared" si="0"/>
        <v>38</v>
      </c>
      <c r="M30">
        <f t="shared" si="1"/>
        <v>41.5</v>
      </c>
      <c r="N30">
        <f t="shared" si="2"/>
        <v>33.333333333333336</v>
      </c>
    </row>
    <row r="31" spans="1:27" x14ac:dyDescent="0.25">
      <c r="H31" s="4"/>
    </row>
    <row r="32" spans="1:27" s="25" customFormat="1" x14ac:dyDescent="0.25">
      <c r="A32" s="34" t="s">
        <v>1</v>
      </c>
      <c r="Q32" s="32"/>
      <c r="R32" s="32"/>
      <c r="S32" s="32"/>
      <c r="T32" s="33"/>
      <c r="U32" s="33"/>
      <c r="V32" s="32"/>
      <c r="W32" s="32"/>
      <c r="X32" s="32"/>
      <c r="Y32" s="32"/>
      <c r="Z32" s="32"/>
      <c r="AA32" s="32"/>
    </row>
    <row r="33" spans="1:14" x14ac:dyDescent="0.25">
      <c r="A33" s="4" t="s">
        <v>3</v>
      </c>
      <c r="B33">
        <v>127</v>
      </c>
      <c r="C33">
        <v>52</v>
      </c>
      <c r="D33">
        <v>42</v>
      </c>
      <c r="E33">
        <v>53</v>
      </c>
      <c r="F33">
        <v>528</v>
      </c>
      <c r="G33">
        <v>0</v>
      </c>
      <c r="H33">
        <v>0</v>
      </c>
      <c r="I33">
        <v>0</v>
      </c>
      <c r="K33">
        <f t="shared" si="0"/>
        <v>100.25</v>
      </c>
      <c r="M33">
        <f t="shared" si="1"/>
        <v>68.5</v>
      </c>
      <c r="N33">
        <f t="shared" si="2"/>
        <v>132</v>
      </c>
    </row>
    <row r="34" spans="1:14" x14ac:dyDescent="0.25">
      <c r="A34" s="4" t="s">
        <v>13</v>
      </c>
      <c r="B34">
        <v>16</v>
      </c>
      <c r="C34" s="5"/>
      <c r="D34">
        <v>233</v>
      </c>
      <c r="E34" s="5"/>
      <c r="F34">
        <v>74</v>
      </c>
      <c r="G34" s="4">
        <v>0</v>
      </c>
      <c r="H34" s="4">
        <v>0</v>
      </c>
      <c r="I34" s="4">
        <v>7</v>
      </c>
      <c r="K34">
        <f t="shared" si="0"/>
        <v>55</v>
      </c>
      <c r="M34">
        <f t="shared" si="1"/>
        <v>124.5</v>
      </c>
      <c r="N34">
        <f t="shared" si="2"/>
        <v>20.25</v>
      </c>
    </row>
    <row r="35" spans="1:14" x14ac:dyDescent="0.25">
      <c r="A35" s="4" t="s">
        <v>68</v>
      </c>
      <c r="B35" s="5"/>
      <c r="C35">
        <v>0</v>
      </c>
      <c r="D35" s="5"/>
      <c r="E35" s="5"/>
      <c r="F35" s="5"/>
      <c r="G35" s="5"/>
      <c r="H35" s="5"/>
      <c r="I35" s="5"/>
      <c r="K35">
        <f t="shared" si="0"/>
        <v>0</v>
      </c>
      <c r="M35">
        <f t="shared" si="1"/>
        <v>0</v>
      </c>
      <c r="N35" s="5"/>
    </row>
    <row r="36" spans="1:14" x14ac:dyDescent="0.25">
      <c r="A36" s="4" t="s">
        <v>69</v>
      </c>
      <c r="B36" s="5"/>
      <c r="C36" s="5"/>
      <c r="D36" s="5"/>
      <c r="E36" s="5"/>
      <c r="F36">
        <v>142</v>
      </c>
      <c r="G36">
        <v>7</v>
      </c>
      <c r="H36">
        <v>38</v>
      </c>
      <c r="I36">
        <v>190</v>
      </c>
      <c r="K36">
        <f t="shared" si="0"/>
        <v>94.25</v>
      </c>
      <c r="M36" s="5"/>
      <c r="N36">
        <f t="shared" si="2"/>
        <v>94.25</v>
      </c>
    </row>
    <row r="37" spans="1:14" x14ac:dyDescent="0.25">
      <c r="A37" s="4" t="s">
        <v>70</v>
      </c>
      <c r="B37">
        <v>16</v>
      </c>
      <c r="C37">
        <v>0</v>
      </c>
      <c r="D37">
        <v>0</v>
      </c>
      <c r="E37" s="5"/>
      <c r="F37">
        <v>0</v>
      </c>
      <c r="G37">
        <v>0</v>
      </c>
      <c r="H37">
        <v>0</v>
      </c>
      <c r="I37">
        <v>0</v>
      </c>
      <c r="K37">
        <f t="shared" si="0"/>
        <v>2.2857142857142856</v>
      </c>
      <c r="M37">
        <f t="shared" si="1"/>
        <v>5.333333333333333</v>
      </c>
      <c r="N37">
        <f t="shared" si="2"/>
        <v>0</v>
      </c>
    </row>
    <row r="38" spans="1:14" x14ac:dyDescent="0.25">
      <c r="A38" s="4" t="s">
        <v>74</v>
      </c>
      <c r="B38">
        <v>316</v>
      </c>
      <c r="C38" s="5"/>
      <c r="D38">
        <v>235</v>
      </c>
      <c r="E38">
        <v>0</v>
      </c>
      <c r="F38" s="5"/>
      <c r="G38">
        <v>178</v>
      </c>
      <c r="H38">
        <v>0</v>
      </c>
      <c r="I38">
        <v>11</v>
      </c>
      <c r="K38">
        <f t="shared" si="0"/>
        <v>123.33333333333333</v>
      </c>
      <c r="M38">
        <f t="shared" si="1"/>
        <v>183.66666666666666</v>
      </c>
      <c r="N38">
        <f t="shared" si="2"/>
        <v>63</v>
      </c>
    </row>
    <row r="39" spans="1:14" x14ac:dyDescent="0.25">
      <c r="A39" s="4" t="s">
        <v>79</v>
      </c>
      <c r="B39">
        <v>79</v>
      </c>
      <c r="C39">
        <v>18</v>
      </c>
      <c r="D39">
        <v>153</v>
      </c>
      <c r="E39">
        <v>138</v>
      </c>
      <c r="F39">
        <v>103</v>
      </c>
      <c r="G39">
        <v>131</v>
      </c>
      <c r="H39">
        <v>268</v>
      </c>
      <c r="I39" s="5"/>
      <c r="K39">
        <f t="shared" si="0"/>
        <v>127.14285714285714</v>
      </c>
      <c r="M39">
        <f t="shared" si="1"/>
        <v>97</v>
      </c>
      <c r="N39">
        <f t="shared" si="2"/>
        <v>167.33333333333334</v>
      </c>
    </row>
    <row r="40" spans="1:14" x14ac:dyDescent="0.25">
      <c r="A40" s="4" t="s">
        <v>80</v>
      </c>
      <c r="B40" s="5"/>
      <c r="C40" s="5"/>
      <c r="D40" s="5"/>
      <c r="E40" s="5"/>
      <c r="F40" s="4">
        <v>6</v>
      </c>
      <c r="G40" s="5"/>
      <c r="H40" s="4">
        <v>6</v>
      </c>
      <c r="I40" s="5"/>
      <c r="K40">
        <f t="shared" si="0"/>
        <v>6</v>
      </c>
      <c r="M40" s="5"/>
      <c r="N40">
        <f t="shared" si="2"/>
        <v>6</v>
      </c>
    </row>
    <row r="41" spans="1:14" x14ac:dyDescent="0.25">
      <c r="A41" s="4" t="s">
        <v>86</v>
      </c>
      <c r="B41">
        <v>0</v>
      </c>
      <c r="C41">
        <v>129</v>
      </c>
      <c r="D41" s="5"/>
      <c r="E41">
        <v>104</v>
      </c>
      <c r="F41" s="5"/>
      <c r="G41" s="5"/>
      <c r="H41" s="5"/>
      <c r="I41" s="5"/>
      <c r="K41">
        <f t="shared" si="0"/>
        <v>77.666666666666671</v>
      </c>
      <c r="M41">
        <f t="shared" si="1"/>
        <v>77.666666666666671</v>
      </c>
      <c r="N41" s="5"/>
    </row>
    <row r="42" spans="1:14" x14ac:dyDescent="0.25">
      <c r="A42" s="4" t="s">
        <v>92</v>
      </c>
      <c r="B42" s="4">
        <v>0</v>
      </c>
      <c r="C42" s="5"/>
      <c r="D42" s="5"/>
      <c r="E42" s="4">
        <v>53</v>
      </c>
      <c r="F42" s="4">
        <v>0</v>
      </c>
      <c r="G42" s="5"/>
      <c r="H42" s="5"/>
      <c r="I42">
        <v>0</v>
      </c>
      <c r="K42">
        <f t="shared" si="0"/>
        <v>13.25</v>
      </c>
      <c r="M42">
        <f t="shared" si="1"/>
        <v>26.5</v>
      </c>
      <c r="N42">
        <f t="shared" si="2"/>
        <v>0</v>
      </c>
    </row>
    <row r="43" spans="1:14" x14ac:dyDescent="0.25">
      <c r="A43" t="s">
        <v>93</v>
      </c>
      <c r="B43" s="4">
        <v>0</v>
      </c>
      <c r="C43">
        <v>0</v>
      </c>
      <c r="D43">
        <v>0</v>
      </c>
      <c r="E43" s="4">
        <v>32</v>
      </c>
      <c r="F43" s="5"/>
      <c r="G43" s="5"/>
      <c r="H43" s="5"/>
      <c r="I43" s="5"/>
      <c r="K43">
        <f t="shared" si="0"/>
        <v>8</v>
      </c>
      <c r="M43">
        <f t="shared" si="1"/>
        <v>8</v>
      </c>
      <c r="N43" s="5"/>
    </row>
    <row r="44" spans="1:14" x14ac:dyDescent="0.25">
      <c r="A44" t="s">
        <v>110</v>
      </c>
      <c r="B44" s="4">
        <v>175</v>
      </c>
      <c r="C44" s="4">
        <v>167</v>
      </c>
      <c r="D44">
        <v>136</v>
      </c>
      <c r="E44" s="4">
        <v>32</v>
      </c>
      <c r="F44" s="4">
        <v>177</v>
      </c>
      <c r="G44">
        <v>93</v>
      </c>
      <c r="H44">
        <v>228</v>
      </c>
      <c r="I44">
        <v>32</v>
      </c>
      <c r="K44">
        <f t="shared" si="0"/>
        <v>130</v>
      </c>
      <c r="M44">
        <f t="shared" si="1"/>
        <v>127.5</v>
      </c>
      <c r="N44">
        <f t="shared" si="2"/>
        <v>132.5</v>
      </c>
    </row>
    <row r="45" spans="1:14" x14ac:dyDescent="0.25">
      <c r="A45" t="s">
        <v>120</v>
      </c>
      <c r="B45" s="4">
        <v>120</v>
      </c>
      <c r="C45" s="4">
        <v>35</v>
      </c>
      <c r="D45">
        <v>38</v>
      </c>
      <c r="E45" s="5"/>
      <c r="F45" s="4">
        <v>281</v>
      </c>
      <c r="G45">
        <v>127</v>
      </c>
      <c r="H45">
        <v>70</v>
      </c>
      <c r="I45">
        <v>122</v>
      </c>
      <c r="K45">
        <f t="shared" si="0"/>
        <v>113.28571428571429</v>
      </c>
      <c r="M45">
        <f t="shared" si="1"/>
        <v>64.333333333333329</v>
      </c>
      <c r="N45">
        <f t="shared" si="2"/>
        <v>150</v>
      </c>
    </row>
    <row r="46" spans="1:14" x14ac:dyDescent="0.25">
      <c r="A46" t="s">
        <v>125</v>
      </c>
      <c r="B46" s="4">
        <v>0</v>
      </c>
      <c r="C46" s="5"/>
      <c r="D46" s="5"/>
      <c r="E46" s="5"/>
      <c r="F46" s="4">
        <v>0</v>
      </c>
      <c r="G46">
        <v>0</v>
      </c>
      <c r="H46">
        <v>0</v>
      </c>
      <c r="I46">
        <v>0</v>
      </c>
      <c r="K46">
        <f t="shared" si="0"/>
        <v>0</v>
      </c>
      <c r="M46">
        <f t="shared" si="1"/>
        <v>0</v>
      </c>
      <c r="N46">
        <f t="shared" si="2"/>
        <v>0</v>
      </c>
    </row>
    <row r="47" spans="1:14" x14ac:dyDescent="0.25">
      <c r="A47" t="s">
        <v>130</v>
      </c>
      <c r="B47" s="5"/>
      <c r="C47" s="5"/>
      <c r="D47" s="5"/>
      <c r="E47" s="5"/>
      <c r="F47" s="5"/>
      <c r="G47">
        <v>0</v>
      </c>
      <c r="H47">
        <v>74</v>
      </c>
      <c r="I47">
        <v>20</v>
      </c>
      <c r="K47">
        <f t="shared" si="0"/>
        <v>31.333333333333332</v>
      </c>
      <c r="M47" s="5"/>
      <c r="N47">
        <f t="shared" si="2"/>
        <v>31.333333333333332</v>
      </c>
    </row>
    <row r="48" spans="1:14" x14ac:dyDescent="0.25">
      <c r="A48" t="s">
        <v>145</v>
      </c>
      <c r="B48" s="4">
        <v>229</v>
      </c>
      <c r="C48" s="4">
        <v>0</v>
      </c>
      <c r="D48">
        <v>14</v>
      </c>
      <c r="E48">
        <v>179</v>
      </c>
      <c r="F48" s="4">
        <v>14</v>
      </c>
      <c r="G48" s="4">
        <v>118</v>
      </c>
      <c r="H48" s="4">
        <v>325</v>
      </c>
      <c r="I48" s="4">
        <v>20</v>
      </c>
      <c r="K48">
        <f t="shared" si="0"/>
        <v>112.375</v>
      </c>
      <c r="M48">
        <f t="shared" si="1"/>
        <v>105.5</v>
      </c>
      <c r="N48">
        <f t="shared" si="2"/>
        <v>119.25</v>
      </c>
    </row>
    <row r="49" spans="1:15" x14ac:dyDescent="0.25">
      <c r="A49" t="s">
        <v>144</v>
      </c>
      <c r="B49" s="4">
        <v>303</v>
      </c>
      <c r="C49" s="5"/>
      <c r="D49" s="5"/>
      <c r="E49">
        <v>333</v>
      </c>
      <c r="F49" s="4">
        <v>0</v>
      </c>
      <c r="G49" s="4">
        <v>218</v>
      </c>
      <c r="H49" s="4">
        <v>243</v>
      </c>
      <c r="I49" s="5"/>
      <c r="K49">
        <f t="shared" si="0"/>
        <v>219.4</v>
      </c>
      <c r="M49">
        <f t="shared" si="1"/>
        <v>318</v>
      </c>
      <c r="N49">
        <f t="shared" si="2"/>
        <v>153.66666666666666</v>
      </c>
    </row>
    <row r="50" spans="1:15" x14ac:dyDescent="0.25">
      <c r="A50" t="s">
        <v>132</v>
      </c>
      <c r="B50" s="4">
        <v>155</v>
      </c>
      <c r="C50">
        <v>36</v>
      </c>
      <c r="D50">
        <v>276</v>
      </c>
      <c r="E50">
        <v>817</v>
      </c>
      <c r="F50" s="4">
        <v>0</v>
      </c>
      <c r="G50" s="4">
        <v>291</v>
      </c>
      <c r="H50" s="5"/>
      <c r="I50" s="5"/>
      <c r="K50">
        <f t="shared" si="0"/>
        <v>262.5</v>
      </c>
      <c r="M50">
        <f t="shared" si="1"/>
        <v>321</v>
      </c>
      <c r="N50">
        <f t="shared" si="2"/>
        <v>145.5</v>
      </c>
    </row>
    <row r="51" spans="1:15" x14ac:dyDescent="0.25">
      <c r="A51" t="s">
        <v>146</v>
      </c>
      <c r="B51" s="4">
        <v>187</v>
      </c>
      <c r="C51">
        <v>260</v>
      </c>
      <c r="D51">
        <v>104</v>
      </c>
      <c r="E51">
        <v>38</v>
      </c>
      <c r="F51" s="4">
        <v>12</v>
      </c>
      <c r="G51" s="4">
        <v>12</v>
      </c>
      <c r="H51" s="4">
        <v>235</v>
      </c>
      <c r="I51" s="4">
        <v>53</v>
      </c>
      <c r="K51">
        <f t="shared" si="0"/>
        <v>112.625</v>
      </c>
      <c r="M51">
        <f t="shared" si="1"/>
        <v>147.25</v>
      </c>
      <c r="N51">
        <f t="shared" si="2"/>
        <v>78</v>
      </c>
    </row>
    <row r="52" spans="1:15" x14ac:dyDescent="0.25">
      <c r="A52" t="s">
        <v>147</v>
      </c>
      <c r="B52" s="4">
        <v>24</v>
      </c>
      <c r="C52">
        <v>81</v>
      </c>
      <c r="D52">
        <v>0</v>
      </c>
      <c r="E52">
        <v>0</v>
      </c>
      <c r="F52" s="4">
        <v>0</v>
      </c>
      <c r="G52" s="4">
        <v>0</v>
      </c>
      <c r="H52" s="5"/>
      <c r="I52" s="5"/>
      <c r="K52">
        <f t="shared" si="0"/>
        <v>17.5</v>
      </c>
      <c r="M52">
        <f t="shared" si="1"/>
        <v>26.25</v>
      </c>
      <c r="N52">
        <f t="shared" si="2"/>
        <v>0</v>
      </c>
    </row>
    <row r="53" spans="1:15" x14ac:dyDescent="0.25">
      <c r="A53" t="s">
        <v>155</v>
      </c>
      <c r="B53" s="4">
        <v>150</v>
      </c>
      <c r="C53" s="5"/>
      <c r="D53">
        <v>75</v>
      </c>
      <c r="E53" s="5"/>
      <c r="F53" s="4">
        <v>13</v>
      </c>
      <c r="G53" s="4">
        <v>386</v>
      </c>
      <c r="H53" s="5"/>
      <c r="I53" s="4">
        <v>374</v>
      </c>
      <c r="K53">
        <f t="shared" si="0"/>
        <v>199.6</v>
      </c>
      <c r="M53">
        <f t="shared" si="1"/>
        <v>112.5</v>
      </c>
      <c r="N53">
        <f t="shared" si="2"/>
        <v>257.66666666666669</v>
      </c>
    </row>
    <row r="54" spans="1:15" x14ac:dyDescent="0.25">
      <c r="A54" t="s">
        <v>158</v>
      </c>
      <c r="B54" s="4">
        <v>5</v>
      </c>
      <c r="C54">
        <v>15</v>
      </c>
      <c r="D54">
        <v>5</v>
      </c>
      <c r="E54">
        <v>0</v>
      </c>
      <c r="F54" s="4">
        <v>182</v>
      </c>
      <c r="G54" s="5"/>
      <c r="H54" s="4">
        <v>102</v>
      </c>
      <c r="I54" s="4">
        <v>0</v>
      </c>
      <c r="K54">
        <f>(AVERAGE(B54:I54))</f>
        <v>44.142857142857146</v>
      </c>
      <c r="M54">
        <f>AVERAGE(B54:E54)</f>
        <v>6.25</v>
      </c>
      <c r="N54">
        <f>AVERAGE(F54:I54)</f>
        <v>94.666666666666671</v>
      </c>
    </row>
    <row r="55" spans="1:15" x14ac:dyDescent="0.25">
      <c r="A55" t="s">
        <v>162</v>
      </c>
      <c r="B55" s="4">
        <v>0</v>
      </c>
      <c r="C55">
        <v>0</v>
      </c>
      <c r="D55">
        <v>0</v>
      </c>
      <c r="E55">
        <v>0</v>
      </c>
      <c r="F55" s="4">
        <v>0</v>
      </c>
      <c r="G55" s="4">
        <v>0</v>
      </c>
      <c r="H55" s="4">
        <v>0</v>
      </c>
      <c r="I55" s="4">
        <v>0</v>
      </c>
      <c r="K55">
        <v>270.75</v>
      </c>
      <c r="M55">
        <v>264.75</v>
      </c>
      <c r="N55">
        <v>276.75</v>
      </c>
    </row>
    <row r="56" spans="1:15" x14ac:dyDescent="0.25">
      <c r="A56" t="s">
        <v>160</v>
      </c>
      <c r="B56" s="4">
        <v>24</v>
      </c>
      <c r="C56">
        <v>25</v>
      </c>
      <c r="D56">
        <v>15</v>
      </c>
      <c r="E56">
        <v>78</v>
      </c>
      <c r="F56" s="5"/>
      <c r="G56" s="4">
        <v>323</v>
      </c>
      <c r="H56" s="4">
        <v>320</v>
      </c>
      <c r="I56" s="5"/>
      <c r="K56">
        <f t="shared" ref="K56:K61" si="4">(AVERAGE(B56:I56))</f>
        <v>130.83333333333334</v>
      </c>
      <c r="M56">
        <f t="shared" ref="M56:M61" si="5">AVERAGE(B56:E56)</f>
        <v>35.5</v>
      </c>
      <c r="N56">
        <f t="shared" ref="N56:N61" si="6">AVERAGE(F56:I56)</f>
        <v>321.5</v>
      </c>
    </row>
    <row r="57" spans="1:15" x14ac:dyDescent="0.25">
      <c r="A57" t="s">
        <v>173</v>
      </c>
      <c r="B57" s="4">
        <v>0</v>
      </c>
      <c r="C57">
        <v>4</v>
      </c>
      <c r="D57">
        <v>0</v>
      </c>
      <c r="E57">
        <v>0</v>
      </c>
      <c r="F57" s="4">
        <v>0</v>
      </c>
      <c r="G57" s="4">
        <v>0</v>
      </c>
      <c r="H57" s="4">
        <v>0</v>
      </c>
      <c r="I57" s="5"/>
      <c r="K57">
        <f t="shared" si="4"/>
        <v>0.5714285714285714</v>
      </c>
      <c r="M57">
        <f t="shared" si="5"/>
        <v>1</v>
      </c>
      <c r="N57">
        <f t="shared" si="6"/>
        <v>0</v>
      </c>
    </row>
    <row r="58" spans="1:15" x14ac:dyDescent="0.25">
      <c r="A58" t="s">
        <v>174</v>
      </c>
      <c r="B58" s="4">
        <v>0</v>
      </c>
      <c r="C58">
        <v>86</v>
      </c>
      <c r="D58">
        <v>0</v>
      </c>
      <c r="E58">
        <v>12</v>
      </c>
      <c r="F58" s="5"/>
      <c r="G58" s="5"/>
      <c r="H58" s="5"/>
      <c r="I58" s="5"/>
      <c r="K58">
        <f t="shared" si="4"/>
        <v>24.5</v>
      </c>
      <c r="M58">
        <f t="shared" si="5"/>
        <v>24.5</v>
      </c>
      <c r="N58" s="5"/>
      <c r="O58" s="5" t="s">
        <v>248</v>
      </c>
    </row>
    <row r="59" spans="1:15" x14ac:dyDescent="0.25">
      <c r="A59" t="s">
        <v>175</v>
      </c>
      <c r="B59" s="4">
        <v>40</v>
      </c>
      <c r="C59">
        <v>0</v>
      </c>
      <c r="D59">
        <v>28</v>
      </c>
      <c r="E59">
        <v>76</v>
      </c>
      <c r="F59" s="4">
        <v>144</v>
      </c>
      <c r="G59" s="4">
        <v>0</v>
      </c>
      <c r="H59" s="4">
        <v>0</v>
      </c>
      <c r="I59" s="4">
        <v>51</v>
      </c>
      <c r="K59">
        <f t="shared" si="4"/>
        <v>42.375</v>
      </c>
      <c r="M59">
        <f t="shared" si="5"/>
        <v>36</v>
      </c>
      <c r="N59">
        <f t="shared" si="6"/>
        <v>48.75</v>
      </c>
    </row>
    <row r="60" spans="1:15" x14ac:dyDescent="0.25">
      <c r="A60" t="s">
        <v>187</v>
      </c>
      <c r="B60" s="5"/>
      <c r="C60" s="5"/>
      <c r="D60" s="5"/>
      <c r="E60" s="4">
        <v>5</v>
      </c>
      <c r="F60" s="4">
        <v>0</v>
      </c>
      <c r="G60" s="4">
        <v>0</v>
      </c>
      <c r="H60" s="4">
        <v>11</v>
      </c>
      <c r="I60" s="4">
        <v>11</v>
      </c>
      <c r="K60">
        <f t="shared" si="4"/>
        <v>5.4</v>
      </c>
      <c r="M60">
        <f t="shared" si="5"/>
        <v>5</v>
      </c>
      <c r="N60">
        <f t="shared" si="6"/>
        <v>5.5</v>
      </c>
    </row>
    <row r="61" spans="1:15" x14ac:dyDescent="0.25">
      <c r="A61" t="s">
        <v>186</v>
      </c>
      <c r="B61" s="5"/>
      <c r="C61" s="5"/>
      <c r="D61">
        <v>42</v>
      </c>
      <c r="E61" s="5"/>
      <c r="F61" s="4">
        <v>0</v>
      </c>
      <c r="G61" s="5"/>
      <c r="H61" s="4">
        <v>0</v>
      </c>
      <c r="I61" s="4">
        <v>40</v>
      </c>
      <c r="K61">
        <f t="shared" si="4"/>
        <v>20.5</v>
      </c>
      <c r="M61">
        <f t="shared" si="5"/>
        <v>42</v>
      </c>
      <c r="N61">
        <f t="shared" si="6"/>
        <v>13.333333333333334</v>
      </c>
    </row>
    <row r="63" spans="1:15" x14ac:dyDescent="0.25">
      <c r="J63" s="25"/>
      <c r="K63" s="37"/>
      <c r="L63" s="37"/>
      <c r="M63" s="37"/>
      <c r="N63" s="37"/>
    </row>
    <row r="65" spans="10:14" x14ac:dyDescent="0.25">
      <c r="J65" s="25"/>
      <c r="K65" s="12"/>
      <c r="L65" s="12"/>
      <c r="M65" s="12"/>
      <c r="N65" s="12"/>
    </row>
    <row r="66" spans="10:14" x14ac:dyDescent="0.25">
      <c r="J66" s="25"/>
      <c r="K66" s="12"/>
      <c r="L66" s="12"/>
      <c r="M66" s="12"/>
      <c r="N66" s="12"/>
    </row>
    <row r="67" spans="10:14" x14ac:dyDescent="0.25">
      <c r="K67" s="12"/>
      <c r="L67" s="12"/>
      <c r="M67" s="12"/>
      <c r="N67" s="12"/>
    </row>
    <row r="68" spans="10:14" x14ac:dyDescent="0.25">
      <c r="J68" s="25"/>
      <c r="K68" s="12"/>
      <c r="L68" s="12"/>
      <c r="M68" s="12"/>
      <c r="N68" s="12"/>
    </row>
    <row r="69" spans="10:14" x14ac:dyDescent="0.25">
      <c r="J69" s="25"/>
      <c r="K69" s="12"/>
      <c r="L69" s="12"/>
      <c r="M69" s="12"/>
      <c r="N69" s="12"/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6"/>
  <sheetViews>
    <sheetView zoomScale="55" zoomScaleNormal="55" workbookViewId="0">
      <selection activeCell="K33" sqref="K33"/>
    </sheetView>
  </sheetViews>
  <sheetFormatPr defaultRowHeight="15" x14ac:dyDescent="0.25"/>
  <cols>
    <col min="3" max="3" width="12.140625" bestFit="1" customWidth="1"/>
    <col min="14" max="14" width="8.28515625" customWidth="1"/>
  </cols>
  <sheetData>
    <row r="1" spans="1:8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8" x14ac:dyDescent="0.25">
      <c r="A2" t="s">
        <v>3</v>
      </c>
      <c r="B2">
        <v>96.1</v>
      </c>
      <c r="C2">
        <v>98</v>
      </c>
      <c r="E2" s="3">
        <f>C2-B2</f>
        <v>1.9000000000000057</v>
      </c>
    </row>
    <row r="3" spans="1:8" x14ac:dyDescent="0.25">
      <c r="A3" t="s">
        <v>13</v>
      </c>
      <c r="B3">
        <v>94.5</v>
      </c>
      <c r="C3">
        <v>93.5</v>
      </c>
      <c r="E3" s="3">
        <f t="shared" ref="E3:E61" si="0">C3-B3</f>
        <v>-1</v>
      </c>
    </row>
    <row r="4" spans="1:8" x14ac:dyDescent="0.25">
      <c r="A4" t="s">
        <v>68</v>
      </c>
      <c r="B4">
        <v>101</v>
      </c>
      <c r="C4">
        <v>102.4</v>
      </c>
      <c r="E4" s="3">
        <f t="shared" si="0"/>
        <v>1.4000000000000057</v>
      </c>
    </row>
    <row r="5" spans="1:8" x14ac:dyDescent="0.25">
      <c r="A5" t="s">
        <v>69</v>
      </c>
      <c r="B5" s="3">
        <f>(96.2+96.3)/2</f>
        <v>96.25</v>
      </c>
      <c r="C5">
        <v>94.9</v>
      </c>
      <c r="E5" s="3">
        <f t="shared" si="0"/>
        <v>-1.3499999999999943</v>
      </c>
    </row>
    <row r="6" spans="1:8" x14ac:dyDescent="0.25">
      <c r="A6" t="s">
        <v>70</v>
      </c>
      <c r="B6">
        <v>97.8</v>
      </c>
      <c r="C6" s="3">
        <v>98.8</v>
      </c>
      <c r="E6" s="3">
        <f t="shared" si="0"/>
        <v>1</v>
      </c>
    </row>
    <row r="7" spans="1:8" x14ac:dyDescent="0.25">
      <c r="A7" t="s">
        <v>74</v>
      </c>
      <c r="B7">
        <v>102.8</v>
      </c>
      <c r="C7" s="3">
        <f>(106.1+106.4)/2</f>
        <v>106.25</v>
      </c>
      <c r="E7" s="3">
        <f t="shared" si="0"/>
        <v>3.4500000000000028</v>
      </c>
      <c r="H7" s="3"/>
    </row>
    <row r="8" spans="1:8" x14ac:dyDescent="0.25">
      <c r="A8" t="s">
        <v>79</v>
      </c>
      <c r="B8" s="3">
        <f>(97.5+97.8+98.7)/3</f>
        <v>98</v>
      </c>
      <c r="C8">
        <v>101.1</v>
      </c>
      <c r="E8" s="3">
        <f t="shared" si="0"/>
        <v>3.0999999999999943</v>
      </c>
      <c r="G8" s="3"/>
    </row>
    <row r="9" spans="1:8" x14ac:dyDescent="0.25">
      <c r="A9" t="s">
        <v>80</v>
      </c>
      <c r="B9" s="3">
        <f>(99.2+98.9)/2</f>
        <v>99.050000000000011</v>
      </c>
      <c r="C9" s="3">
        <f>(99+99.6+99.4)/3</f>
        <v>99.333333333333329</v>
      </c>
      <c r="E9" s="3">
        <f t="shared" si="0"/>
        <v>0.28333333333331723</v>
      </c>
    </row>
    <row r="10" spans="1:8" x14ac:dyDescent="0.25">
      <c r="A10" t="s">
        <v>86</v>
      </c>
      <c r="B10">
        <v>95</v>
      </c>
      <c r="C10" s="3">
        <f>(93.5+94)/2</f>
        <v>93.75</v>
      </c>
      <c r="E10" s="3">
        <f t="shared" si="0"/>
        <v>-1.25</v>
      </c>
    </row>
    <row r="11" spans="1:8" x14ac:dyDescent="0.25">
      <c r="A11" t="s">
        <v>92</v>
      </c>
      <c r="B11" s="3">
        <f>(92.3+92)/2</f>
        <v>92.15</v>
      </c>
      <c r="C11" s="3">
        <f>(92.8+91.6+92.6)/3</f>
        <v>92.333333333333329</v>
      </c>
      <c r="E11" s="3">
        <f t="shared" si="0"/>
        <v>0.18333333333332291</v>
      </c>
      <c r="H11" s="3"/>
    </row>
    <row r="12" spans="1:8" x14ac:dyDescent="0.25">
      <c r="A12" t="s">
        <v>93</v>
      </c>
      <c r="B12" s="3">
        <f>(110.1+110.6+110.6)/3</f>
        <v>110.43333333333332</v>
      </c>
      <c r="C12">
        <f>(111.2+111.4)/2</f>
        <v>111.30000000000001</v>
      </c>
      <c r="E12" s="3">
        <f t="shared" si="0"/>
        <v>0.86666666666668846</v>
      </c>
      <c r="G12" s="3"/>
    </row>
    <row r="13" spans="1:8" x14ac:dyDescent="0.25">
      <c r="A13" t="s">
        <v>110</v>
      </c>
      <c r="B13" s="3">
        <f>(103.4+102+102.9)/3</f>
        <v>102.76666666666667</v>
      </c>
      <c r="C13" s="3">
        <f>(104.9+104.5+104.2)/3</f>
        <v>104.53333333333335</v>
      </c>
      <c r="E13" s="3">
        <f t="shared" si="0"/>
        <v>1.7666666666666799</v>
      </c>
      <c r="G13" s="3"/>
    </row>
    <row r="14" spans="1:8" x14ac:dyDescent="0.25">
      <c r="A14" t="s">
        <v>120</v>
      </c>
      <c r="B14">
        <v>101.3</v>
      </c>
      <c r="C14" s="3">
        <v>103</v>
      </c>
      <c r="E14" s="3">
        <f t="shared" si="0"/>
        <v>1.7000000000000028</v>
      </c>
      <c r="H14" s="3"/>
    </row>
    <row r="15" spans="1:8" x14ac:dyDescent="0.25">
      <c r="A15" t="s">
        <v>125</v>
      </c>
      <c r="B15" s="3">
        <f>(87.4+88.2+87.4)/3</f>
        <v>87.666666666666671</v>
      </c>
      <c r="C15">
        <v>89.5</v>
      </c>
      <c r="E15" s="3">
        <f t="shared" si="0"/>
        <v>1.8333333333333286</v>
      </c>
    </row>
    <row r="16" spans="1:8" x14ac:dyDescent="0.25">
      <c r="A16" t="s">
        <v>130</v>
      </c>
      <c r="B16" s="3">
        <f>(98+99+98)/3</f>
        <v>98.333333333333329</v>
      </c>
      <c r="C16" s="3">
        <f>(98+98.5+97.5)/3</f>
        <v>98</v>
      </c>
      <c r="E16" s="3">
        <f t="shared" si="0"/>
        <v>-0.3333333333333286</v>
      </c>
    </row>
    <row r="17" spans="1:8" x14ac:dyDescent="0.25">
      <c r="A17" t="s">
        <v>145</v>
      </c>
      <c r="B17">
        <f>(97.8+97.4)/2</f>
        <v>97.6</v>
      </c>
      <c r="C17" s="3">
        <f>(95.4+96+95.9)/3</f>
        <v>95.766666666666666</v>
      </c>
      <c r="E17" s="3">
        <f t="shared" si="0"/>
        <v>-1.8333333333333286</v>
      </c>
      <c r="H17" s="3"/>
    </row>
    <row r="18" spans="1:8" x14ac:dyDescent="0.25">
      <c r="A18" t="s">
        <v>144</v>
      </c>
      <c r="B18">
        <v>107.3</v>
      </c>
      <c r="C18" s="3">
        <f>(106.8+107.4+106.7)/3</f>
        <v>106.96666666666665</v>
      </c>
      <c r="E18" s="3">
        <f t="shared" si="0"/>
        <v>-0.33333333333334281</v>
      </c>
    </row>
    <row r="19" spans="1:8" x14ac:dyDescent="0.25">
      <c r="A19" t="s">
        <v>132</v>
      </c>
      <c r="B19" s="3">
        <f>(101.8+102.1)/2</f>
        <v>101.94999999999999</v>
      </c>
      <c r="C19">
        <v>102.1</v>
      </c>
      <c r="E19" s="3">
        <f t="shared" si="0"/>
        <v>0.15000000000000568</v>
      </c>
      <c r="G19" s="3"/>
      <c r="H19" s="3"/>
    </row>
    <row r="20" spans="1:8" x14ac:dyDescent="0.25">
      <c r="A20" t="s">
        <v>146</v>
      </c>
      <c r="B20" s="3">
        <f>(104.1+103.2+102.8)/3</f>
        <v>103.36666666666667</v>
      </c>
      <c r="C20">
        <f>(105.5+105+105.1)/3</f>
        <v>105.2</v>
      </c>
      <c r="E20" s="3">
        <f t="shared" si="0"/>
        <v>1.8333333333333286</v>
      </c>
    </row>
    <row r="21" spans="1:8" x14ac:dyDescent="0.25">
      <c r="A21" t="s">
        <v>147</v>
      </c>
      <c r="B21">
        <v>94.4</v>
      </c>
      <c r="C21" s="3">
        <f>(93.6+94.1+94.2)/3</f>
        <v>93.966666666666654</v>
      </c>
      <c r="E21" s="3">
        <f t="shared" si="0"/>
        <v>-0.43333333333335133</v>
      </c>
    </row>
    <row r="22" spans="1:8" x14ac:dyDescent="0.25">
      <c r="A22" t="s">
        <v>155</v>
      </c>
      <c r="B22">
        <v>100.6</v>
      </c>
      <c r="C22">
        <v>100.7</v>
      </c>
      <c r="E22" s="3">
        <f t="shared" si="0"/>
        <v>0.10000000000000853</v>
      </c>
    </row>
    <row r="23" spans="1:8" x14ac:dyDescent="0.25">
      <c r="A23" t="s">
        <v>158</v>
      </c>
      <c r="B23">
        <v>101.4</v>
      </c>
      <c r="C23">
        <f>(100.5+99.5+98.5)/3</f>
        <v>99.5</v>
      </c>
      <c r="E23" s="3">
        <f t="shared" si="0"/>
        <v>-1.9000000000000057</v>
      </c>
    </row>
    <row r="24" spans="1:8" x14ac:dyDescent="0.25">
      <c r="A24" t="s">
        <v>162</v>
      </c>
      <c r="B24">
        <v>138.4</v>
      </c>
      <c r="C24">
        <v>139.6</v>
      </c>
      <c r="E24" s="3">
        <f t="shared" si="0"/>
        <v>1.1999999999999886</v>
      </c>
    </row>
    <row r="25" spans="1:8" x14ac:dyDescent="0.25">
      <c r="A25" t="s">
        <v>160</v>
      </c>
      <c r="B25" s="3">
        <f>(111.2+110.5+111.2)/3</f>
        <v>110.96666666666665</v>
      </c>
      <c r="C25" s="3">
        <f>(112.9+111.3+112.3)/3</f>
        <v>112.16666666666667</v>
      </c>
      <c r="E25" s="3">
        <f t="shared" si="0"/>
        <v>1.2000000000000171</v>
      </c>
    </row>
    <row r="26" spans="1:8" x14ac:dyDescent="0.25">
      <c r="A26" t="s">
        <v>173</v>
      </c>
      <c r="B26">
        <v>106.2</v>
      </c>
      <c r="C26">
        <v>106.6</v>
      </c>
      <c r="E26" s="3">
        <f t="shared" si="0"/>
        <v>0.39999999999999147</v>
      </c>
    </row>
    <row r="27" spans="1:8" x14ac:dyDescent="0.25">
      <c r="A27" t="s">
        <v>174</v>
      </c>
      <c r="B27" s="3">
        <f>(105+104.3+104)/3</f>
        <v>104.43333333333334</v>
      </c>
      <c r="C27" s="3">
        <f>(103.6+104.3+104.5)/3</f>
        <v>104.13333333333333</v>
      </c>
      <c r="E27" s="3">
        <f t="shared" si="0"/>
        <v>-0.30000000000001137</v>
      </c>
    </row>
    <row r="28" spans="1:8" x14ac:dyDescent="0.25">
      <c r="A28" t="s">
        <v>175</v>
      </c>
      <c r="B28" s="3">
        <f>(120.7+119+119.8)/3</f>
        <v>119.83333333333333</v>
      </c>
      <c r="C28">
        <v>124.1</v>
      </c>
      <c r="E28" s="3">
        <f t="shared" si="0"/>
        <v>4.2666666666666657</v>
      </c>
    </row>
    <row r="29" spans="1:8" x14ac:dyDescent="0.25">
      <c r="A29" t="s">
        <v>187</v>
      </c>
      <c r="B29">
        <v>105.5</v>
      </c>
      <c r="C29" s="3">
        <v>105.5</v>
      </c>
      <c r="E29" s="3">
        <f t="shared" si="0"/>
        <v>0</v>
      </c>
    </row>
    <row r="30" spans="1:8" x14ac:dyDescent="0.25">
      <c r="A30" t="s">
        <v>186</v>
      </c>
      <c r="B30" s="3">
        <f>(116.9+117.7+117.2)/3</f>
        <v>117.26666666666667</v>
      </c>
      <c r="C30" s="3">
        <f>(116.1+115.6+115.6)/3</f>
        <v>115.76666666666665</v>
      </c>
      <c r="E30" s="3">
        <f t="shared" si="0"/>
        <v>-1.5000000000000142</v>
      </c>
    </row>
    <row r="31" spans="1:8" x14ac:dyDescent="0.25">
      <c r="E31" s="3"/>
    </row>
    <row r="32" spans="1:8" s="25" customFormat="1" x14ac:dyDescent="0.25">
      <c r="A32" s="25" t="s">
        <v>1</v>
      </c>
      <c r="E32" s="3"/>
    </row>
    <row r="33" spans="1:8" x14ac:dyDescent="0.25">
      <c r="A33" t="s">
        <v>3</v>
      </c>
      <c r="B33">
        <v>99.1</v>
      </c>
      <c r="C33">
        <v>101</v>
      </c>
      <c r="E33" s="3">
        <f t="shared" si="0"/>
        <v>1.9000000000000057</v>
      </c>
    </row>
    <row r="34" spans="1:8" x14ac:dyDescent="0.25">
      <c r="A34" t="s">
        <v>13</v>
      </c>
      <c r="B34">
        <v>93.5</v>
      </c>
      <c r="C34">
        <v>94.6</v>
      </c>
      <c r="E34" s="3">
        <f t="shared" si="0"/>
        <v>1.0999999999999943</v>
      </c>
    </row>
    <row r="35" spans="1:8" x14ac:dyDescent="0.25">
      <c r="A35" t="s">
        <v>68</v>
      </c>
      <c r="B35">
        <v>101.6</v>
      </c>
      <c r="C35" s="3">
        <f>(103.2+103.1)/2</f>
        <v>103.15</v>
      </c>
      <c r="E35" s="3">
        <f t="shared" si="0"/>
        <v>1.5500000000000114</v>
      </c>
    </row>
    <row r="36" spans="1:8" x14ac:dyDescent="0.25">
      <c r="A36" t="s">
        <v>69</v>
      </c>
      <c r="B36">
        <v>96.9</v>
      </c>
      <c r="C36">
        <f>(96+96.5+96.4)/3</f>
        <v>96.3</v>
      </c>
      <c r="E36" s="3">
        <f t="shared" si="0"/>
        <v>-0.60000000000000853</v>
      </c>
      <c r="H36" s="3"/>
    </row>
    <row r="37" spans="1:8" x14ac:dyDescent="0.25">
      <c r="A37" t="s">
        <v>70</v>
      </c>
      <c r="B37" s="3">
        <f>(98.4+97.9)/2</f>
        <v>98.15</v>
      </c>
      <c r="C37">
        <f>(98.6+98.2)/2</f>
        <v>98.4</v>
      </c>
      <c r="E37" s="3">
        <f t="shared" si="0"/>
        <v>0.25</v>
      </c>
      <c r="G37" s="3"/>
      <c r="H37" s="3"/>
    </row>
    <row r="38" spans="1:8" x14ac:dyDescent="0.25">
      <c r="A38" t="s">
        <v>74</v>
      </c>
      <c r="B38">
        <v>106</v>
      </c>
      <c r="C38">
        <v>105.7</v>
      </c>
      <c r="E38" s="3">
        <f t="shared" si="0"/>
        <v>-0.29999999999999716</v>
      </c>
    </row>
    <row r="39" spans="1:8" x14ac:dyDescent="0.25">
      <c r="A39" t="s">
        <v>79</v>
      </c>
      <c r="B39">
        <v>100.6</v>
      </c>
      <c r="C39">
        <f>(97+96.8)/2</f>
        <v>96.9</v>
      </c>
      <c r="E39" s="3">
        <f t="shared" si="0"/>
        <v>-3.6999999999999886</v>
      </c>
    </row>
    <row r="40" spans="1:8" x14ac:dyDescent="0.25">
      <c r="A40" t="s">
        <v>80</v>
      </c>
      <c r="B40">
        <f>(95.7+95.5)/2</f>
        <v>95.6</v>
      </c>
      <c r="C40" s="3">
        <f>(101.3+99.5+101.5)/3</f>
        <v>100.76666666666667</v>
      </c>
      <c r="E40" s="3">
        <f t="shared" si="0"/>
        <v>5.1666666666666714</v>
      </c>
    </row>
    <row r="41" spans="1:8" x14ac:dyDescent="0.25">
      <c r="A41" t="s">
        <v>86</v>
      </c>
      <c r="B41" s="3">
        <f>(94.2+94.8+95)/3</f>
        <v>94.666666666666671</v>
      </c>
      <c r="C41">
        <f>(93.5+94.3+94.5)/3</f>
        <v>94.100000000000009</v>
      </c>
      <c r="E41" s="3">
        <f t="shared" si="0"/>
        <v>-0.56666666666666288</v>
      </c>
    </row>
    <row r="42" spans="1:8" x14ac:dyDescent="0.25">
      <c r="A42" t="s">
        <v>92</v>
      </c>
      <c r="B42">
        <v>92.4</v>
      </c>
      <c r="C42" s="3">
        <f>(93.6+93.4+93)/3</f>
        <v>93.333333333333329</v>
      </c>
      <c r="E42" s="3">
        <f t="shared" si="0"/>
        <v>0.93333333333332291</v>
      </c>
    </row>
    <row r="43" spans="1:8" x14ac:dyDescent="0.25">
      <c r="A43" t="s">
        <v>93</v>
      </c>
      <c r="B43" s="3">
        <f>(108.7+108)/2</f>
        <v>108.35</v>
      </c>
      <c r="C43">
        <v>107</v>
      </c>
      <c r="E43" s="3">
        <f t="shared" si="0"/>
        <v>-1.3499999999999943</v>
      </c>
    </row>
    <row r="44" spans="1:8" x14ac:dyDescent="0.25">
      <c r="A44" t="s">
        <v>110</v>
      </c>
      <c r="B44">
        <f>(105+104.7+105)/3</f>
        <v>104.89999999999999</v>
      </c>
      <c r="C44">
        <v>104.1</v>
      </c>
      <c r="E44" s="3">
        <f t="shared" si="0"/>
        <v>-0.79999999999999716</v>
      </c>
      <c r="G44" s="3"/>
    </row>
    <row r="45" spans="1:8" x14ac:dyDescent="0.25">
      <c r="A45" t="s">
        <v>120</v>
      </c>
      <c r="B45">
        <v>103.6</v>
      </c>
      <c r="C45">
        <v>102.9</v>
      </c>
      <c r="E45" s="3">
        <f t="shared" si="0"/>
        <v>-0.69999999999998863</v>
      </c>
      <c r="G45" s="3"/>
    </row>
    <row r="46" spans="1:8" x14ac:dyDescent="0.25">
      <c r="A46" t="s">
        <v>125</v>
      </c>
      <c r="B46">
        <v>87.6</v>
      </c>
      <c r="C46" s="3">
        <f>(88.5+88+88)/3</f>
        <v>88.166666666666671</v>
      </c>
      <c r="E46" s="3">
        <f t="shared" si="0"/>
        <v>0.56666666666667709</v>
      </c>
      <c r="H46" s="3"/>
    </row>
    <row r="47" spans="1:8" x14ac:dyDescent="0.25">
      <c r="A47" t="s">
        <v>130</v>
      </c>
      <c r="B47" s="3">
        <f>(98.9+97.6+97.6)/3</f>
        <v>98.033333333333346</v>
      </c>
      <c r="C47">
        <v>98.8</v>
      </c>
      <c r="E47" s="3">
        <f t="shared" si="0"/>
        <v>0.76666666666665151</v>
      </c>
      <c r="G47" s="3"/>
    </row>
    <row r="48" spans="1:8" x14ac:dyDescent="0.25">
      <c r="A48" t="s">
        <v>145</v>
      </c>
      <c r="B48">
        <v>94.7</v>
      </c>
      <c r="C48" s="3">
        <f>(96.3+96.7+96.7)/3</f>
        <v>96.566666666666663</v>
      </c>
      <c r="E48" s="3">
        <f t="shared" si="0"/>
        <v>1.86666666666666</v>
      </c>
    </row>
    <row r="49" spans="1:8" x14ac:dyDescent="0.25">
      <c r="A49" t="s">
        <v>144</v>
      </c>
      <c r="B49" s="3">
        <f>(106.8+106+106)/3</f>
        <v>106.26666666666667</v>
      </c>
      <c r="C49">
        <v>105.2</v>
      </c>
      <c r="E49" s="3">
        <f t="shared" si="0"/>
        <v>-1.0666666666666629</v>
      </c>
    </row>
    <row r="50" spans="1:8" x14ac:dyDescent="0.25">
      <c r="A50" t="s">
        <v>132</v>
      </c>
      <c r="B50">
        <v>102.2</v>
      </c>
      <c r="C50">
        <v>102</v>
      </c>
      <c r="E50" s="3">
        <f t="shared" si="0"/>
        <v>-0.20000000000000284</v>
      </c>
      <c r="H50" s="3"/>
    </row>
    <row r="51" spans="1:8" x14ac:dyDescent="0.25">
      <c r="A51" t="s">
        <v>146</v>
      </c>
      <c r="B51" s="3">
        <f>(103.6+104.2+103.5)/3</f>
        <v>103.76666666666667</v>
      </c>
      <c r="C51" s="3">
        <f>(103.9+103.4)/2</f>
        <v>103.65</v>
      </c>
      <c r="E51" s="3">
        <f t="shared" si="0"/>
        <v>-0.11666666666666003</v>
      </c>
      <c r="G51" s="3"/>
    </row>
    <row r="52" spans="1:8" x14ac:dyDescent="0.25">
      <c r="A52" t="s">
        <v>147</v>
      </c>
      <c r="B52" s="3">
        <f>(93.2+94.1+94.7)/3</f>
        <v>94</v>
      </c>
      <c r="C52" s="3">
        <f>(95+94+93.5)/3</f>
        <v>94.166666666666671</v>
      </c>
      <c r="E52" s="3">
        <f t="shared" si="0"/>
        <v>0.1666666666666714</v>
      </c>
    </row>
    <row r="53" spans="1:8" x14ac:dyDescent="0.25">
      <c r="A53" t="s">
        <v>155</v>
      </c>
      <c r="B53">
        <v>97.4</v>
      </c>
      <c r="C53">
        <v>99.2</v>
      </c>
      <c r="E53" s="3">
        <f t="shared" si="0"/>
        <v>1.7999999999999972</v>
      </c>
    </row>
    <row r="54" spans="1:8" x14ac:dyDescent="0.25">
      <c r="A54" t="s">
        <v>158</v>
      </c>
      <c r="B54">
        <v>101.2</v>
      </c>
      <c r="C54">
        <f>(100.1+100.6+101.1)/3</f>
        <v>100.59999999999998</v>
      </c>
      <c r="E54" s="3">
        <f t="shared" si="0"/>
        <v>-0.60000000000002274</v>
      </c>
    </row>
    <row r="55" spans="1:8" x14ac:dyDescent="0.25">
      <c r="A55" t="s">
        <v>162</v>
      </c>
      <c r="B55">
        <v>139.9</v>
      </c>
      <c r="C55" s="3">
        <f>(139+138.6+139)/3</f>
        <v>138.86666666666667</v>
      </c>
      <c r="E55" s="3">
        <f t="shared" si="0"/>
        <v>-1.0333333333333314</v>
      </c>
    </row>
    <row r="56" spans="1:8" x14ac:dyDescent="0.25">
      <c r="A56" t="s">
        <v>160</v>
      </c>
      <c r="B56">
        <v>109</v>
      </c>
      <c r="C56">
        <v>109</v>
      </c>
      <c r="E56" s="3">
        <f t="shared" si="0"/>
        <v>0</v>
      </c>
    </row>
    <row r="57" spans="1:8" x14ac:dyDescent="0.25">
      <c r="A57" t="s">
        <v>173</v>
      </c>
      <c r="B57">
        <v>106.2</v>
      </c>
      <c r="C57">
        <v>106.2</v>
      </c>
      <c r="E57" s="3">
        <f t="shared" si="0"/>
        <v>0</v>
      </c>
      <c r="H57" s="3"/>
    </row>
    <row r="58" spans="1:8" x14ac:dyDescent="0.25">
      <c r="A58" t="s">
        <v>174</v>
      </c>
      <c r="B58" s="3">
        <f>(105.5+106.2+105.6)/3</f>
        <v>105.76666666666665</v>
      </c>
      <c r="C58" s="3">
        <f>(105.2+105.3+105.6)/3</f>
        <v>105.36666666666667</v>
      </c>
      <c r="E58" s="3">
        <f t="shared" si="0"/>
        <v>-0.39999999999997726</v>
      </c>
    </row>
    <row r="59" spans="1:8" x14ac:dyDescent="0.25">
      <c r="A59" t="s">
        <v>175</v>
      </c>
      <c r="B59">
        <f>(121+123.4+120)/3</f>
        <v>121.46666666666665</v>
      </c>
      <c r="C59">
        <v>121.3</v>
      </c>
      <c r="E59" s="3">
        <f t="shared" si="0"/>
        <v>-0.16666666666665719</v>
      </c>
    </row>
    <row r="60" spans="1:8" x14ac:dyDescent="0.25">
      <c r="A60" t="s">
        <v>187</v>
      </c>
      <c r="B60" s="3">
        <f>(105.2+104.8+104.8)/3</f>
        <v>104.93333333333334</v>
      </c>
      <c r="C60">
        <v>105.5</v>
      </c>
      <c r="E60" s="3">
        <f t="shared" si="0"/>
        <v>0.56666666666666288</v>
      </c>
    </row>
    <row r="61" spans="1:8" x14ac:dyDescent="0.25">
      <c r="A61" t="s">
        <v>186</v>
      </c>
      <c r="B61">
        <v>116.7</v>
      </c>
      <c r="C61">
        <v>117.7</v>
      </c>
      <c r="E61" s="3">
        <f t="shared" si="0"/>
        <v>1</v>
      </c>
    </row>
    <row r="63" spans="1:8" x14ac:dyDescent="0.25">
      <c r="D63" s="25"/>
      <c r="E63" s="37"/>
    </row>
    <row r="65" spans="4:6" x14ac:dyDescent="0.25">
      <c r="D65" s="25"/>
      <c r="E65" s="27"/>
      <c r="F65" s="27"/>
    </row>
    <row r="66" spans="4:6" x14ac:dyDescent="0.25">
      <c r="D66" s="25"/>
      <c r="E66" s="27"/>
      <c r="F66" s="27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6"/>
  <sheetViews>
    <sheetView zoomScale="55" zoomScaleNormal="55" workbookViewId="0">
      <selection activeCell="K48" sqref="K48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275</v>
      </c>
    </row>
    <row r="2" spans="1:5" x14ac:dyDescent="0.25">
      <c r="A2" t="s">
        <v>3</v>
      </c>
      <c r="B2" s="2">
        <v>0.81477627471383973</v>
      </c>
      <c r="C2" s="2">
        <v>0.7857142857142857</v>
      </c>
      <c r="E2" s="2">
        <f>C2-B2</f>
        <v>-2.9061988999554034E-2</v>
      </c>
    </row>
    <row r="3" spans="1:5" x14ac:dyDescent="0.25">
      <c r="A3" t="s">
        <v>13</v>
      </c>
      <c r="B3" s="2">
        <v>0.80529100529100528</v>
      </c>
      <c r="C3" s="2">
        <v>0.82352941176470584</v>
      </c>
      <c r="E3" s="2">
        <f t="shared" ref="E3:E61" si="0">C3-B3</f>
        <v>1.8238406473700564E-2</v>
      </c>
    </row>
    <row r="4" spans="1:5" x14ac:dyDescent="0.25">
      <c r="A4" t="s">
        <v>68</v>
      </c>
      <c r="B4" s="2">
        <v>0.70792079207920788</v>
      </c>
      <c r="C4" s="2">
        <v>0.7275390625</v>
      </c>
      <c r="E4" s="2">
        <f t="shared" si="0"/>
        <v>1.9618270420792117E-2</v>
      </c>
    </row>
    <row r="5" spans="1:5" x14ac:dyDescent="0.25">
      <c r="A5" t="s">
        <v>69</v>
      </c>
      <c r="B5" s="2">
        <v>0.89558441558441559</v>
      </c>
      <c r="C5" s="2">
        <v>0.89567966280295042</v>
      </c>
      <c r="E5" s="2">
        <f t="shared" si="0"/>
        <v>9.5247218534821876E-5</v>
      </c>
    </row>
    <row r="6" spans="1:5" x14ac:dyDescent="0.25">
      <c r="A6" t="s">
        <v>70</v>
      </c>
      <c r="B6" s="2">
        <v>0.80455085753098976</v>
      </c>
      <c r="C6" s="2">
        <v>0.78556910569105687</v>
      </c>
      <c r="E6" s="2">
        <f t="shared" si="0"/>
        <v>-1.8981751839932892E-2</v>
      </c>
    </row>
    <row r="7" spans="1:5" x14ac:dyDescent="0.25">
      <c r="A7" t="s">
        <v>74</v>
      </c>
      <c r="B7" s="2">
        <v>0.81614785992217909</v>
      </c>
      <c r="C7" s="2">
        <v>0.74792156862745096</v>
      </c>
      <c r="E7" s="2">
        <f t="shared" si="0"/>
        <v>-6.8226291294728125E-2</v>
      </c>
    </row>
    <row r="8" spans="1:5" x14ac:dyDescent="0.25">
      <c r="A8" t="s">
        <v>79</v>
      </c>
      <c r="B8" s="2">
        <v>0.77823129251700685</v>
      </c>
      <c r="C8" s="2">
        <v>0.73293768545994065</v>
      </c>
      <c r="E8" s="2">
        <f t="shared" si="0"/>
        <v>-4.5293607057066199E-2</v>
      </c>
    </row>
    <row r="9" spans="1:5" x14ac:dyDescent="0.25">
      <c r="A9" t="s">
        <v>80</v>
      </c>
      <c r="B9" s="2">
        <v>0.77132761231701141</v>
      </c>
      <c r="C9" s="2">
        <v>0.75604026845637584</v>
      </c>
      <c r="E9" s="2">
        <f t="shared" si="0"/>
        <v>-1.5287343860635572E-2</v>
      </c>
    </row>
    <row r="10" spans="1:5" x14ac:dyDescent="0.25">
      <c r="A10" t="s">
        <v>86</v>
      </c>
      <c r="B10" s="2">
        <v>0.78315789473684216</v>
      </c>
      <c r="C10" s="2">
        <v>0.77439999999999998</v>
      </c>
      <c r="E10" s="2">
        <f t="shared" si="0"/>
        <v>-8.7578947368421867E-3</v>
      </c>
    </row>
    <row r="11" spans="1:5" x14ac:dyDescent="0.25">
      <c r="A11" t="s">
        <v>92</v>
      </c>
      <c r="B11" s="2">
        <v>0.75963103635377094</v>
      </c>
      <c r="C11" s="2">
        <v>0.78916967509025271</v>
      </c>
      <c r="E11" s="2">
        <f t="shared" si="0"/>
        <v>2.953863873648177E-2</v>
      </c>
    </row>
    <row r="12" spans="1:5" x14ac:dyDescent="0.25">
      <c r="A12" t="s">
        <v>93</v>
      </c>
      <c r="B12" s="2">
        <v>0.792936915182614</v>
      </c>
      <c r="C12" s="2">
        <v>0.80503144654088032</v>
      </c>
      <c r="E12" s="2">
        <f t="shared" si="0"/>
        <v>1.2094531358266325E-2</v>
      </c>
    </row>
    <row r="13" spans="1:5" x14ac:dyDescent="0.25">
      <c r="A13" t="s">
        <v>110</v>
      </c>
      <c r="B13" s="2">
        <v>0.81414206941290945</v>
      </c>
      <c r="C13" s="2">
        <v>0.79496173469387743</v>
      </c>
      <c r="E13" s="2">
        <f t="shared" si="0"/>
        <v>-1.9180334719032022E-2</v>
      </c>
    </row>
    <row r="14" spans="1:5" x14ac:dyDescent="0.25">
      <c r="A14" t="s">
        <v>120</v>
      </c>
      <c r="B14" s="2">
        <v>0.70384995064165845</v>
      </c>
      <c r="C14" s="2">
        <v>0.68381877022653725</v>
      </c>
      <c r="E14" s="2">
        <f t="shared" si="0"/>
        <v>-2.0031180415121197E-2</v>
      </c>
    </row>
    <row r="15" spans="1:5" x14ac:dyDescent="0.25">
      <c r="A15" t="s">
        <v>125</v>
      </c>
      <c r="B15" s="2">
        <v>0.72091254752851708</v>
      </c>
      <c r="C15" s="2">
        <v>0.74972067039106138</v>
      </c>
      <c r="E15" s="2">
        <f t="shared" si="0"/>
        <v>2.8808122862544305E-2</v>
      </c>
    </row>
    <row r="16" spans="1:5" x14ac:dyDescent="0.25">
      <c r="A16" t="s">
        <v>130</v>
      </c>
      <c r="B16" s="2">
        <v>0.67423728813559325</v>
      </c>
      <c r="C16" s="2">
        <v>0.73877551020408172</v>
      </c>
      <c r="E16" s="2">
        <f t="shared" si="0"/>
        <v>6.4538222068488471E-2</v>
      </c>
    </row>
    <row r="17" spans="1:5" x14ac:dyDescent="0.25">
      <c r="A17" t="s">
        <v>145</v>
      </c>
      <c r="B17" s="2">
        <v>0.69672131147540983</v>
      </c>
      <c r="C17" s="2">
        <v>0.70727462582666201</v>
      </c>
      <c r="E17" s="2">
        <f t="shared" si="0"/>
        <v>1.0553314351252174E-2</v>
      </c>
    </row>
    <row r="18" spans="1:5" x14ac:dyDescent="0.25">
      <c r="A18" t="s">
        <v>144</v>
      </c>
      <c r="B18" s="2">
        <v>0.70829450139794969</v>
      </c>
      <c r="C18" s="2">
        <v>0.71611093798691183</v>
      </c>
      <c r="E18" s="2">
        <f t="shared" si="0"/>
        <v>7.816436588962139E-3</v>
      </c>
    </row>
    <row r="19" spans="1:5" x14ac:dyDescent="0.25">
      <c r="A19" t="s">
        <v>132</v>
      </c>
      <c r="B19" s="2">
        <v>0.75363740395618772</v>
      </c>
      <c r="C19" s="2">
        <v>0.75089781260202426</v>
      </c>
      <c r="E19" s="2">
        <f t="shared" si="0"/>
        <v>-2.739591354163462E-3</v>
      </c>
    </row>
    <row r="20" spans="1:5" x14ac:dyDescent="0.25">
      <c r="A20" t="s">
        <v>146</v>
      </c>
      <c r="B20" s="2">
        <v>0.89003547242824887</v>
      </c>
      <c r="C20" s="2">
        <v>0.89353612167300378</v>
      </c>
      <c r="E20" s="2">
        <f t="shared" si="0"/>
        <v>3.5006492447549054E-3</v>
      </c>
    </row>
    <row r="21" spans="1:5" x14ac:dyDescent="0.25">
      <c r="A21" t="s">
        <v>147</v>
      </c>
      <c r="B21" s="2">
        <v>0.72457627118644075</v>
      </c>
      <c r="C21" s="2">
        <v>0.70024831500532114</v>
      </c>
      <c r="E21" s="2">
        <f t="shared" si="0"/>
        <v>-2.4327956181119603E-2</v>
      </c>
    </row>
    <row r="22" spans="1:5" x14ac:dyDescent="0.25">
      <c r="A22" t="s">
        <v>155</v>
      </c>
      <c r="B22" s="2">
        <v>0.73856858846918494</v>
      </c>
      <c r="C22" s="2">
        <v>0.75571002979145974</v>
      </c>
      <c r="E22" s="2">
        <f t="shared" si="0"/>
        <v>1.7141441322274797E-2</v>
      </c>
    </row>
    <row r="23" spans="1:5" x14ac:dyDescent="0.25">
      <c r="A23" t="s">
        <v>158</v>
      </c>
      <c r="B23" s="2">
        <v>0.84516765285996054</v>
      </c>
      <c r="C23" s="2">
        <v>0.86231155778894475</v>
      </c>
      <c r="E23" s="2">
        <f t="shared" si="0"/>
        <v>1.714390492898421E-2</v>
      </c>
    </row>
    <row r="24" spans="1:5" x14ac:dyDescent="0.25">
      <c r="A24" t="s">
        <v>162</v>
      </c>
      <c r="B24" s="2">
        <v>0.75794797687861271</v>
      </c>
      <c r="C24" s="2">
        <v>0.78080229226361031</v>
      </c>
      <c r="E24" s="2">
        <f t="shared" si="0"/>
        <v>2.2854315384997603E-2</v>
      </c>
    </row>
    <row r="25" spans="1:5" x14ac:dyDescent="0.25">
      <c r="A25" t="s">
        <v>160</v>
      </c>
      <c r="B25" s="2">
        <v>0.8921598077500752</v>
      </c>
      <c r="C25" s="2">
        <v>0.91292719167904901</v>
      </c>
      <c r="E25" s="2">
        <f t="shared" si="0"/>
        <v>2.0767383928973815E-2</v>
      </c>
    </row>
    <row r="26" spans="1:5" x14ac:dyDescent="0.25">
      <c r="A26" t="s">
        <v>173</v>
      </c>
      <c r="B26" s="2">
        <v>0.77777777777777768</v>
      </c>
      <c r="C26" s="2">
        <v>0.75984990619136961</v>
      </c>
      <c r="E26" s="2">
        <f t="shared" si="0"/>
        <v>-1.7927871586408073E-2</v>
      </c>
    </row>
    <row r="27" spans="1:5" x14ac:dyDescent="0.25">
      <c r="A27" t="s">
        <v>174</v>
      </c>
      <c r="B27" s="2">
        <v>0.95754867539099897</v>
      </c>
      <c r="C27" s="2">
        <v>0.93149807938540341</v>
      </c>
      <c r="E27" s="2">
        <f t="shared" si="0"/>
        <v>-2.6050596005595561E-2</v>
      </c>
    </row>
    <row r="28" spans="1:5" x14ac:dyDescent="0.25">
      <c r="A28" t="s">
        <v>175</v>
      </c>
      <c r="B28" s="2">
        <v>0.99638386648122401</v>
      </c>
      <c r="C28" s="2">
        <v>0.9452054794520548</v>
      </c>
      <c r="E28" s="2">
        <f t="shared" si="0"/>
        <v>-5.1178387029169214E-2</v>
      </c>
    </row>
    <row r="29" spans="1:5" x14ac:dyDescent="0.25">
      <c r="A29" t="s">
        <v>187</v>
      </c>
      <c r="B29" s="2">
        <v>0.87772511848341228</v>
      </c>
      <c r="C29" s="2">
        <v>0.84640000000000004</v>
      </c>
      <c r="E29" s="2">
        <f t="shared" si="0"/>
        <v>-3.132511848341224E-2</v>
      </c>
    </row>
    <row r="30" spans="1:5" x14ac:dyDescent="0.25">
      <c r="A30" t="s">
        <v>186</v>
      </c>
      <c r="B30" s="2">
        <v>0.71631608868675389</v>
      </c>
      <c r="C30" s="2">
        <v>0.72386985315289387</v>
      </c>
      <c r="E30" s="2">
        <f t="shared" si="0"/>
        <v>7.5537644661399783E-3</v>
      </c>
    </row>
    <row r="31" spans="1:5" x14ac:dyDescent="0.25">
      <c r="E31" s="2"/>
    </row>
    <row r="32" spans="1:5" s="25" customFormat="1" x14ac:dyDescent="0.25">
      <c r="A32" s="25" t="s">
        <v>1</v>
      </c>
      <c r="E32" s="2"/>
    </row>
    <row r="33" spans="1:5" x14ac:dyDescent="0.25">
      <c r="A33" t="s">
        <v>3</v>
      </c>
      <c r="B33" s="2">
        <v>0.80726538849646823</v>
      </c>
      <c r="C33" s="2">
        <v>0.77722772277227725</v>
      </c>
      <c r="E33" s="2">
        <f t="shared" si="0"/>
        <v>-3.0037665724190976E-2</v>
      </c>
    </row>
    <row r="34" spans="1:5" x14ac:dyDescent="0.25">
      <c r="A34" t="s">
        <v>13</v>
      </c>
      <c r="B34" s="2">
        <v>0.78395721925133688</v>
      </c>
      <c r="C34" s="2">
        <v>0.79598308668076112</v>
      </c>
      <c r="E34" s="2">
        <f t="shared" si="0"/>
        <v>1.2025867429424242E-2</v>
      </c>
    </row>
    <row r="35" spans="1:5" x14ac:dyDescent="0.25">
      <c r="A35" t="s">
        <v>68</v>
      </c>
      <c r="B35" s="2">
        <v>0.70800524934383213</v>
      </c>
      <c r="C35" s="2">
        <v>0.72903538536112455</v>
      </c>
      <c r="E35" s="2">
        <f t="shared" si="0"/>
        <v>2.1030136017292422E-2</v>
      </c>
    </row>
    <row r="36" spans="1:5" x14ac:dyDescent="0.25">
      <c r="A36" t="s">
        <v>69</v>
      </c>
      <c r="B36" s="2">
        <v>0.88854489164086681</v>
      </c>
      <c r="C36" s="2">
        <v>0.88646590515749402</v>
      </c>
      <c r="E36" s="2">
        <f t="shared" si="0"/>
        <v>-2.0789864833727911E-3</v>
      </c>
    </row>
    <row r="37" spans="1:5" x14ac:dyDescent="0.25">
      <c r="A37" t="s">
        <v>70</v>
      </c>
      <c r="B37" s="2">
        <v>0.80455085753098976</v>
      </c>
      <c r="C37" s="2">
        <v>0.76219512195121952</v>
      </c>
      <c r="E37" s="2">
        <f t="shared" si="0"/>
        <v>-4.2355735579770237E-2</v>
      </c>
    </row>
    <row r="38" spans="1:5" x14ac:dyDescent="0.25">
      <c r="A38" t="s">
        <v>74</v>
      </c>
      <c r="B38" s="2">
        <v>0.77735849056603779</v>
      </c>
      <c r="C38" s="2">
        <v>0.75969725638599805</v>
      </c>
      <c r="E38" s="2">
        <f t="shared" si="0"/>
        <v>-1.7661234180039731E-2</v>
      </c>
    </row>
    <row r="39" spans="1:5" x14ac:dyDescent="0.25">
      <c r="A39" t="s">
        <v>79</v>
      </c>
      <c r="B39" s="2">
        <v>0.71769383697813127</v>
      </c>
      <c r="C39" s="2">
        <v>0.76126590987272091</v>
      </c>
      <c r="E39" s="2">
        <f t="shared" si="0"/>
        <v>4.3572072894589642E-2</v>
      </c>
    </row>
    <row r="40" spans="1:5" x14ac:dyDescent="0.25">
      <c r="A40" t="s">
        <v>80</v>
      </c>
      <c r="B40" s="2">
        <v>0.77928870292887031</v>
      </c>
      <c r="C40" s="2">
        <v>0.76414158121071785</v>
      </c>
      <c r="E40" s="2">
        <f t="shared" si="0"/>
        <v>-1.5147121718152468E-2</v>
      </c>
    </row>
    <row r="41" spans="1:5" x14ac:dyDescent="0.25">
      <c r="A41" t="s">
        <v>86</v>
      </c>
      <c r="B41" s="2">
        <v>0.78485915492957736</v>
      </c>
      <c r="C41" s="2">
        <v>0.76408076514346424</v>
      </c>
      <c r="E41" s="2">
        <f t="shared" si="0"/>
        <v>-2.0778389786113127E-2</v>
      </c>
    </row>
    <row r="42" spans="1:5" x14ac:dyDescent="0.25">
      <c r="A42" t="s">
        <v>92</v>
      </c>
      <c r="B42" s="2">
        <v>0.80303030303030298</v>
      </c>
      <c r="C42" s="2">
        <v>0.72750000000000015</v>
      </c>
      <c r="E42" s="2">
        <f t="shared" si="0"/>
        <v>-7.5530303030302837E-2</v>
      </c>
    </row>
    <row r="43" spans="1:5" x14ac:dyDescent="0.25">
      <c r="A43" t="s">
        <v>93</v>
      </c>
      <c r="B43" s="2">
        <v>0.81264420858329489</v>
      </c>
      <c r="C43" s="2">
        <v>0.8233644859813084</v>
      </c>
      <c r="E43" s="2">
        <f t="shared" si="0"/>
        <v>1.0720277398013511E-2</v>
      </c>
    </row>
    <row r="44" spans="1:5" x14ac:dyDescent="0.25">
      <c r="A44" t="s">
        <v>110</v>
      </c>
      <c r="B44" s="2">
        <v>0.800127105179536</v>
      </c>
      <c r="C44" s="2">
        <v>0.79923150816522581</v>
      </c>
      <c r="E44" s="2">
        <f t="shared" si="0"/>
        <v>-8.955970143101899E-4</v>
      </c>
    </row>
    <row r="45" spans="1:5" x14ac:dyDescent="0.25">
      <c r="A45" t="s">
        <v>120</v>
      </c>
      <c r="B45" s="2">
        <v>0.7564350064350065</v>
      </c>
      <c r="C45" s="2">
        <v>0.68804664723032061</v>
      </c>
      <c r="E45" s="2">
        <f t="shared" si="0"/>
        <v>-6.8388359204685889E-2</v>
      </c>
    </row>
    <row r="46" spans="1:5" x14ac:dyDescent="0.25">
      <c r="A46" t="s">
        <v>125</v>
      </c>
      <c r="B46" s="2">
        <v>0.74315068493150682</v>
      </c>
      <c r="C46" s="2">
        <v>0.724007561436673</v>
      </c>
      <c r="E46" s="2">
        <f t="shared" si="0"/>
        <v>-1.9143123494833825E-2</v>
      </c>
    </row>
    <row r="47" spans="1:5" x14ac:dyDescent="0.25">
      <c r="A47" t="s">
        <v>130</v>
      </c>
      <c r="B47" s="2">
        <v>0.70928255695341713</v>
      </c>
      <c r="C47" s="2">
        <v>0.73076923076923084</v>
      </c>
      <c r="E47" s="2">
        <f t="shared" si="0"/>
        <v>2.1486673815813706E-2</v>
      </c>
    </row>
    <row r="48" spans="1:5" x14ac:dyDescent="0.25">
      <c r="A48" t="s">
        <v>145</v>
      </c>
      <c r="B48" s="2">
        <v>0.70116156282998943</v>
      </c>
      <c r="C48" s="2">
        <v>0.69589230238177435</v>
      </c>
      <c r="E48" s="2">
        <f t="shared" si="0"/>
        <v>-5.269260448215074E-3</v>
      </c>
    </row>
    <row r="49" spans="1:5" x14ac:dyDescent="0.25">
      <c r="A49" t="s">
        <v>144</v>
      </c>
      <c r="B49" s="2">
        <v>0.71612296110414053</v>
      </c>
      <c r="C49" s="2">
        <v>0.72053231939163498</v>
      </c>
      <c r="E49" s="2">
        <f t="shared" si="0"/>
        <v>4.409358287494447E-3</v>
      </c>
    </row>
    <row r="50" spans="1:5" x14ac:dyDescent="0.25">
      <c r="A50" t="s">
        <v>132</v>
      </c>
      <c r="B50" s="2">
        <v>0.74657534246575341</v>
      </c>
      <c r="C50" s="2">
        <v>0.75261437908496731</v>
      </c>
      <c r="E50" s="2">
        <f t="shared" si="0"/>
        <v>6.0390366192139E-3</v>
      </c>
    </row>
    <row r="51" spans="1:5" x14ac:dyDescent="0.25">
      <c r="A51" t="s">
        <v>146</v>
      </c>
      <c r="B51" s="2">
        <v>0.90073883713459679</v>
      </c>
      <c r="C51" s="2">
        <v>0.90400385914134107</v>
      </c>
      <c r="E51" s="2">
        <f t="shared" si="0"/>
        <v>3.2650220067442781E-3</v>
      </c>
    </row>
    <row r="52" spans="1:5" x14ac:dyDescent="0.25">
      <c r="A52" t="s">
        <v>147</v>
      </c>
      <c r="B52" s="2">
        <v>0.70106382978723414</v>
      </c>
      <c r="C52" s="2">
        <v>0.67433628318584071</v>
      </c>
      <c r="E52" s="2">
        <f t="shared" si="0"/>
        <v>-2.6727546601393426E-2</v>
      </c>
    </row>
    <row r="53" spans="1:5" x14ac:dyDescent="0.25">
      <c r="A53" t="s">
        <v>155</v>
      </c>
      <c r="B53" s="2">
        <v>0.79158110882956867</v>
      </c>
      <c r="C53" s="2">
        <v>0.77419354838709675</v>
      </c>
      <c r="E53" s="2">
        <f t="shared" si="0"/>
        <v>-1.7387560442471917E-2</v>
      </c>
    </row>
    <row r="54" spans="1:5" x14ac:dyDescent="0.25">
      <c r="A54" t="s">
        <v>158</v>
      </c>
      <c r="B54" s="2">
        <v>0.81521739130434778</v>
      </c>
      <c r="C54" s="2">
        <v>0.91351888667992076</v>
      </c>
      <c r="E54" s="2">
        <f t="shared" si="0"/>
        <v>9.8301495375572978E-2</v>
      </c>
    </row>
    <row r="55" spans="1:5" x14ac:dyDescent="0.25">
      <c r="A55" t="s">
        <v>162</v>
      </c>
      <c r="B55" s="2">
        <v>0.77055039313795559</v>
      </c>
      <c r="C55" s="2">
        <v>0.79500720115218437</v>
      </c>
      <c r="E55" s="2">
        <f t="shared" si="0"/>
        <v>2.4456808014228781E-2</v>
      </c>
    </row>
    <row r="56" spans="1:5" x14ac:dyDescent="0.25">
      <c r="A56" t="s">
        <v>160</v>
      </c>
      <c r="B56" s="2">
        <v>0.92293577981651376</v>
      </c>
      <c r="C56" s="2">
        <v>0.93211009174311921</v>
      </c>
      <c r="E56" s="2">
        <f t="shared" si="0"/>
        <v>9.1743119266054496E-3</v>
      </c>
    </row>
    <row r="57" spans="1:5" x14ac:dyDescent="0.25">
      <c r="A57" t="s">
        <v>173</v>
      </c>
      <c r="B57" s="2">
        <v>0.77495291902071561</v>
      </c>
      <c r="C57" s="2">
        <v>0.77369742623979909</v>
      </c>
      <c r="E57" s="2">
        <f t="shared" si="0"/>
        <v>-1.2554927809165228E-3</v>
      </c>
    </row>
    <row r="58" spans="1:5" x14ac:dyDescent="0.25">
      <c r="A58" t="s">
        <v>174</v>
      </c>
      <c r="B58" s="2">
        <v>0.93129530412858508</v>
      </c>
      <c r="C58" s="2">
        <v>0.93577981651376119</v>
      </c>
      <c r="E58" s="2">
        <f t="shared" si="0"/>
        <v>4.4845123851761093E-3</v>
      </c>
    </row>
    <row r="59" spans="1:5" x14ac:dyDescent="0.25">
      <c r="A59" t="s">
        <v>175</v>
      </c>
      <c r="B59" s="2">
        <v>0.95170142700329319</v>
      </c>
      <c r="C59" s="2">
        <v>0.98186314921681783</v>
      </c>
      <c r="E59" s="2">
        <f t="shared" si="0"/>
        <v>3.0161722213524644E-2</v>
      </c>
    </row>
    <row r="60" spans="1:5" x14ac:dyDescent="0.25">
      <c r="A60" t="s">
        <v>187</v>
      </c>
      <c r="B60" s="2">
        <v>0.871982210927573</v>
      </c>
      <c r="C60" s="2">
        <v>0.86729857819905209</v>
      </c>
      <c r="E60" s="2">
        <f t="shared" si="0"/>
        <v>-4.6836327285209034E-3</v>
      </c>
    </row>
    <row r="61" spans="1:5" x14ac:dyDescent="0.25">
      <c r="A61" t="s">
        <v>186</v>
      </c>
      <c r="B61" s="2">
        <v>0.71979434447300772</v>
      </c>
      <c r="C61" s="2">
        <f>((87.2+86.8+88.5)/3)/117.7</f>
        <v>0.7434154630416312</v>
      </c>
      <c r="E61" s="2">
        <f t="shared" si="0"/>
        <v>2.3621118568623478E-2</v>
      </c>
    </row>
    <row r="63" spans="1:5" x14ac:dyDescent="0.25">
      <c r="D63" s="25"/>
      <c r="E63" s="37"/>
    </row>
    <row r="65" spans="4:6" x14ac:dyDescent="0.25">
      <c r="D65" s="25"/>
      <c r="E65" s="26"/>
      <c r="F65" s="26"/>
    </row>
    <row r="66" spans="4:6" x14ac:dyDescent="0.25">
      <c r="D66" s="25"/>
      <c r="E66" s="26"/>
      <c r="F66" s="26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6"/>
  <sheetViews>
    <sheetView zoomScale="55" zoomScaleNormal="55" workbookViewId="0">
      <selection activeCell="J36" sqref="J36"/>
    </sheetView>
  </sheetViews>
  <sheetFormatPr defaultRowHeight="15" x14ac:dyDescent="0.25"/>
  <sheetData>
    <row r="1" spans="1:5" s="25" customFormat="1" x14ac:dyDescent="0.25">
      <c r="A1" s="25" t="s">
        <v>0</v>
      </c>
      <c r="B1" s="25" t="s">
        <v>4</v>
      </c>
      <c r="C1" s="25" t="s">
        <v>2</v>
      </c>
      <c r="E1" s="25" t="s">
        <v>85</v>
      </c>
    </row>
    <row r="2" spans="1:5" x14ac:dyDescent="0.25">
      <c r="A2" t="s">
        <v>3</v>
      </c>
      <c r="B2">
        <v>127</v>
      </c>
      <c r="C2">
        <v>128</v>
      </c>
      <c r="E2">
        <f>C2-B2</f>
        <v>1</v>
      </c>
    </row>
    <row r="3" spans="1:5" x14ac:dyDescent="0.25">
      <c r="A3" t="s">
        <v>13</v>
      </c>
      <c r="B3">
        <v>116</v>
      </c>
      <c r="C3">
        <v>119</v>
      </c>
      <c r="E3">
        <f t="shared" ref="E3:E61" si="0">C3-B3</f>
        <v>3</v>
      </c>
    </row>
    <row r="4" spans="1:5" x14ac:dyDescent="0.25">
      <c r="A4" t="s">
        <v>68</v>
      </c>
      <c r="B4">
        <v>116</v>
      </c>
      <c r="C4">
        <v>116</v>
      </c>
      <c r="E4">
        <f t="shared" si="0"/>
        <v>0</v>
      </c>
    </row>
    <row r="5" spans="1:5" x14ac:dyDescent="0.25">
      <c r="A5" t="s">
        <v>69</v>
      </c>
      <c r="B5">
        <v>115</v>
      </c>
      <c r="C5">
        <v>115</v>
      </c>
      <c r="E5">
        <f t="shared" si="0"/>
        <v>0</v>
      </c>
    </row>
    <row r="6" spans="1:5" x14ac:dyDescent="0.25">
      <c r="A6" t="s">
        <v>70</v>
      </c>
      <c r="B6">
        <v>115</v>
      </c>
      <c r="C6">
        <v>113</v>
      </c>
      <c r="E6">
        <f t="shared" si="0"/>
        <v>-2</v>
      </c>
    </row>
    <row r="7" spans="1:5" x14ac:dyDescent="0.25">
      <c r="A7" t="s">
        <v>74</v>
      </c>
      <c r="B7">
        <v>114</v>
      </c>
      <c r="C7">
        <v>110</v>
      </c>
      <c r="E7">
        <f t="shared" si="0"/>
        <v>-4</v>
      </c>
    </row>
    <row r="8" spans="1:5" x14ac:dyDescent="0.25">
      <c r="A8" t="s">
        <v>79</v>
      </c>
      <c r="B8">
        <v>118</v>
      </c>
      <c r="C8">
        <v>107</v>
      </c>
      <c r="E8">
        <f t="shared" si="0"/>
        <v>-11</v>
      </c>
    </row>
    <row r="9" spans="1:5" x14ac:dyDescent="0.25">
      <c r="A9" t="s">
        <v>80</v>
      </c>
      <c r="B9">
        <v>121</v>
      </c>
      <c r="C9">
        <v>116</v>
      </c>
      <c r="E9">
        <f t="shared" si="0"/>
        <v>-5</v>
      </c>
    </row>
    <row r="10" spans="1:5" x14ac:dyDescent="0.25">
      <c r="A10" t="s">
        <v>86</v>
      </c>
      <c r="B10">
        <v>111</v>
      </c>
      <c r="C10">
        <v>110</v>
      </c>
      <c r="E10">
        <f t="shared" si="0"/>
        <v>-1</v>
      </c>
    </row>
    <row r="11" spans="1:5" x14ac:dyDescent="0.25">
      <c r="A11" t="s">
        <v>92</v>
      </c>
      <c r="B11">
        <v>104</v>
      </c>
      <c r="C11">
        <v>112</v>
      </c>
      <c r="E11">
        <f t="shared" si="0"/>
        <v>8</v>
      </c>
    </row>
    <row r="12" spans="1:5" x14ac:dyDescent="0.25">
      <c r="A12" t="s">
        <v>93</v>
      </c>
      <c r="B12">
        <v>131</v>
      </c>
      <c r="C12">
        <v>123</v>
      </c>
      <c r="E12">
        <f t="shared" si="0"/>
        <v>-8</v>
      </c>
    </row>
    <row r="13" spans="1:5" x14ac:dyDescent="0.25">
      <c r="A13" t="s">
        <v>110</v>
      </c>
      <c r="B13">
        <v>120</v>
      </c>
      <c r="C13">
        <v>119</v>
      </c>
      <c r="E13">
        <f t="shared" si="0"/>
        <v>-1</v>
      </c>
    </row>
    <row r="14" spans="1:5" x14ac:dyDescent="0.25">
      <c r="A14" t="s">
        <v>120</v>
      </c>
      <c r="B14">
        <v>104</v>
      </c>
      <c r="C14">
        <v>99</v>
      </c>
      <c r="E14">
        <f t="shared" si="0"/>
        <v>-5</v>
      </c>
    </row>
    <row r="15" spans="1:5" x14ac:dyDescent="0.25">
      <c r="A15" t="s">
        <v>125</v>
      </c>
      <c r="B15">
        <v>119</v>
      </c>
      <c r="C15">
        <v>124</v>
      </c>
      <c r="E15">
        <f t="shared" si="0"/>
        <v>5</v>
      </c>
    </row>
    <row r="16" spans="1:5" x14ac:dyDescent="0.25">
      <c r="A16" t="s">
        <v>130</v>
      </c>
      <c r="B16">
        <v>134</v>
      </c>
      <c r="C16">
        <v>135</v>
      </c>
      <c r="E16">
        <f t="shared" si="0"/>
        <v>1</v>
      </c>
    </row>
    <row r="17" spans="1:5" x14ac:dyDescent="0.25">
      <c r="A17" t="s">
        <v>145</v>
      </c>
      <c r="B17">
        <v>129</v>
      </c>
      <c r="C17">
        <v>130</v>
      </c>
      <c r="E17">
        <f t="shared" si="0"/>
        <v>1</v>
      </c>
    </row>
    <row r="18" spans="1:5" x14ac:dyDescent="0.25">
      <c r="A18" t="s">
        <v>144</v>
      </c>
      <c r="B18">
        <v>110</v>
      </c>
      <c r="C18">
        <v>109</v>
      </c>
      <c r="E18">
        <f t="shared" si="0"/>
        <v>-1</v>
      </c>
    </row>
    <row r="19" spans="1:5" x14ac:dyDescent="0.25">
      <c r="A19" t="s">
        <v>132</v>
      </c>
      <c r="B19">
        <v>115</v>
      </c>
      <c r="C19">
        <v>111</v>
      </c>
      <c r="E19">
        <f t="shared" si="0"/>
        <v>-4</v>
      </c>
    </row>
    <row r="20" spans="1:5" x14ac:dyDescent="0.25">
      <c r="A20" t="s">
        <v>146</v>
      </c>
      <c r="B20">
        <v>108</v>
      </c>
      <c r="C20">
        <v>115</v>
      </c>
      <c r="E20">
        <f t="shared" si="0"/>
        <v>7</v>
      </c>
    </row>
    <row r="21" spans="1:5" x14ac:dyDescent="0.25">
      <c r="A21" t="s">
        <v>147</v>
      </c>
      <c r="B21">
        <v>105</v>
      </c>
      <c r="C21">
        <v>104</v>
      </c>
      <c r="E21">
        <f t="shared" si="0"/>
        <v>-1</v>
      </c>
    </row>
    <row r="22" spans="1:5" x14ac:dyDescent="0.25">
      <c r="A22" t="s">
        <v>155</v>
      </c>
      <c r="B22">
        <v>100</v>
      </c>
      <c r="C22">
        <v>109</v>
      </c>
      <c r="E22">
        <f t="shared" si="0"/>
        <v>9</v>
      </c>
    </row>
    <row r="23" spans="1:5" x14ac:dyDescent="0.25">
      <c r="A23" t="s">
        <v>158</v>
      </c>
      <c r="B23">
        <v>110</v>
      </c>
      <c r="C23">
        <v>118</v>
      </c>
      <c r="E23">
        <f t="shared" si="0"/>
        <v>8</v>
      </c>
    </row>
    <row r="24" spans="1:5" x14ac:dyDescent="0.25">
      <c r="A24" t="s">
        <v>162</v>
      </c>
      <c r="B24">
        <v>126</v>
      </c>
      <c r="C24">
        <v>122</v>
      </c>
      <c r="E24">
        <f t="shared" si="0"/>
        <v>-4</v>
      </c>
    </row>
    <row r="25" spans="1:5" x14ac:dyDescent="0.25">
      <c r="A25" t="s">
        <v>160</v>
      </c>
      <c r="B25">
        <v>133</v>
      </c>
      <c r="C25">
        <v>146</v>
      </c>
      <c r="E25">
        <f t="shared" si="0"/>
        <v>13</v>
      </c>
    </row>
    <row r="26" spans="1:5" x14ac:dyDescent="0.25">
      <c r="A26" t="s">
        <v>173</v>
      </c>
      <c r="B26">
        <v>117</v>
      </c>
      <c r="C26">
        <v>109</v>
      </c>
      <c r="E26">
        <f t="shared" si="0"/>
        <v>-8</v>
      </c>
    </row>
    <row r="27" spans="1:5" x14ac:dyDescent="0.25">
      <c r="A27" t="s">
        <v>174</v>
      </c>
      <c r="B27">
        <v>120</v>
      </c>
      <c r="C27">
        <v>114</v>
      </c>
      <c r="E27">
        <f t="shared" si="0"/>
        <v>-6</v>
      </c>
    </row>
    <row r="28" spans="1:5" x14ac:dyDescent="0.25">
      <c r="A28" t="s">
        <v>175</v>
      </c>
      <c r="B28">
        <v>122</v>
      </c>
      <c r="C28">
        <v>121</v>
      </c>
      <c r="E28">
        <f t="shared" si="0"/>
        <v>-1</v>
      </c>
    </row>
    <row r="29" spans="1:5" x14ac:dyDescent="0.25">
      <c r="A29" t="s">
        <v>187</v>
      </c>
      <c r="B29">
        <v>127</v>
      </c>
      <c r="C29">
        <f>(122+117+115)/3</f>
        <v>118</v>
      </c>
      <c r="E29">
        <f t="shared" si="0"/>
        <v>-9</v>
      </c>
    </row>
    <row r="30" spans="1:5" x14ac:dyDescent="0.25">
      <c r="A30" t="s">
        <v>186</v>
      </c>
      <c r="B30">
        <v>130</v>
      </c>
      <c r="C30">
        <v>127</v>
      </c>
      <c r="E30">
        <f t="shared" si="0"/>
        <v>-3</v>
      </c>
    </row>
    <row r="32" spans="1:5" s="25" customFormat="1" x14ac:dyDescent="0.25">
      <c r="A32" s="25" t="s">
        <v>1</v>
      </c>
    </row>
    <row r="33" spans="1:5" x14ac:dyDescent="0.25">
      <c r="A33" t="s">
        <v>3</v>
      </c>
      <c r="B33">
        <v>118</v>
      </c>
      <c r="C33">
        <v>116</v>
      </c>
      <c r="E33">
        <f t="shared" si="0"/>
        <v>-2</v>
      </c>
    </row>
    <row r="34" spans="1:5" x14ac:dyDescent="0.25">
      <c r="A34" t="s">
        <v>13</v>
      </c>
      <c r="B34">
        <v>120</v>
      </c>
      <c r="C34">
        <v>123</v>
      </c>
      <c r="E34">
        <f t="shared" si="0"/>
        <v>3</v>
      </c>
    </row>
    <row r="35" spans="1:5" x14ac:dyDescent="0.25">
      <c r="A35" t="s">
        <v>68</v>
      </c>
      <c r="B35">
        <v>120</v>
      </c>
      <c r="C35">
        <v>125</v>
      </c>
      <c r="E35">
        <f t="shared" si="0"/>
        <v>5</v>
      </c>
    </row>
    <row r="36" spans="1:5" x14ac:dyDescent="0.25">
      <c r="A36" t="s">
        <v>69</v>
      </c>
      <c r="B36">
        <v>115</v>
      </c>
      <c r="C36">
        <v>119</v>
      </c>
      <c r="E36">
        <f t="shared" si="0"/>
        <v>4</v>
      </c>
    </row>
    <row r="37" spans="1:5" x14ac:dyDescent="0.25">
      <c r="A37" t="s">
        <v>70</v>
      </c>
      <c r="B37">
        <v>114</v>
      </c>
      <c r="C37">
        <v>106</v>
      </c>
      <c r="E37">
        <f t="shared" si="0"/>
        <v>-8</v>
      </c>
    </row>
    <row r="38" spans="1:5" x14ac:dyDescent="0.25">
      <c r="A38" t="s">
        <v>74</v>
      </c>
      <c r="B38">
        <v>109</v>
      </c>
      <c r="C38">
        <v>113</v>
      </c>
      <c r="E38">
        <f t="shared" si="0"/>
        <v>4</v>
      </c>
    </row>
    <row r="39" spans="1:5" x14ac:dyDescent="0.25">
      <c r="A39" t="s">
        <v>79</v>
      </c>
      <c r="B39">
        <v>107</v>
      </c>
      <c r="C39">
        <v>114</v>
      </c>
      <c r="E39">
        <f t="shared" si="0"/>
        <v>7</v>
      </c>
    </row>
    <row r="40" spans="1:5" x14ac:dyDescent="0.25">
      <c r="A40" t="s">
        <v>80</v>
      </c>
      <c r="B40">
        <v>111</v>
      </c>
      <c r="C40">
        <v>122</v>
      </c>
      <c r="E40">
        <f t="shared" si="0"/>
        <v>11</v>
      </c>
    </row>
    <row r="41" spans="1:5" x14ac:dyDescent="0.25">
      <c r="A41" t="s">
        <v>86</v>
      </c>
      <c r="B41">
        <v>114</v>
      </c>
      <c r="C41">
        <v>110</v>
      </c>
      <c r="E41">
        <f t="shared" si="0"/>
        <v>-4</v>
      </c>
    </row>
    <row r="42" spans="1:5" x14ac:dyDescent="0.25">
      <c r="A42" t="s">
        <v>92</v>
      </c>
      <c r="B42">
        <v>106</v>
      </c>
      <c r="C42">
        <v>107</v>
      </c>
      <c r="E42">
        <f t="shared" si="0"/>
        <v>1</v>
      </c>
    </row>
    <row r="43" spans="1:5" x14ac:dyDescent="0.25">
      <c r="A43" t="s">
        <v>93</v>
      </c>
      <c r="B43">
        <v>129</v>
      </c>
      <c r="C43">
        <v>133</v>
      </c>
      <c r="E43">
        <f t="shared" si="0"/>
        <v>4</v>
      </c>
    </row>
    <row r="44" spans="1:5" x14ac:dyDescent="0.25">
      <c r="A44" t="s">
        <v>110</v>
      </c>
      <c r="B44">
        <v>131</v>
      </c>
      <c r="C44">
        <v>118</v>
      </c>
      <c r="E44">
        <f t="shared" si="0"/>
        <v>-13</v>
      </c>
    </row>
    <row r="45" spans="1:5" x14ac:dyDescent="0.25">
      <c r="A45" t="s">
        <v>120</v>
      </c>
      <c r="B45">
        <v>101</v>
      </c>
      <c r="C45">
        <v>106</v>
      </c>
      <c r="E45">
        <f t="shared" si="0"/>
        <v>5</v>
      </c>
    </row>
    <row r="46" spans="1:5" x14ac:dyDescent="0.25">
      <c r="A46" t="s">
        <v>125</v>
      </c>
      <c r="B46">
        <v>110</v>
      </c>
      <c r="C46">
        <v>112</v>
      </c>
      <c r="E46">
        <f t="shared" si="0"/>
        <v>2</v>
      </c>
    </row>
    <row r="47" spans="1:5" x14ac:dyDescent="0.25">
      <c r="A47" t="s">
        <v>130</v>
      </c>
      <c r="B47">
        <v>129</v>
      </c>
      <c r="C47">
        <v>129</v>
      </c>
      <c r="E47">
        <f t="shared" si="0"/>
        <v>0</v>
      </c>
    </row>
    <row r="48" spans="1:5" x14ac:dyDescent="0.25">
      <c r="A48" t="s">
        <v>145</v>
      </c>
      <c r="B48">
        <v>125</v>
      </c>
      <c r="C48">
        <v>139</v>
      </c>
      <c r="E48">
        <f t="shared" si="0"/>
        <v>14</v>
      </c>
    </row>
    <row r="49" spans="1:5" x14ac:dyDescent="0.25">
      <c r="A49" t="s">
        <v>144</v>
      </c>
      <c r="B49">
        <v>105</v>
      </c>
      <c r="C49">
        <v>111</v>
      </c>
      <c r="E49">
        <f t="shared" si="0"/>
        <v>6</v>
      </c>
    </row>
    <row r="50" spans="1:5" x14ac:dyDescent="0.25">
      <c r="A50" t="s">
        <v>132</v>
      </c>
      <c r="B50">
        <v>111</v>
      </c>
      <c r="C50">
        <v>114</v>
      </c>
      <c r="E50">
        <f t="shared" si="0"/>
        <v>3</v>
      </c>
    </row>
    <row r="51" spans="1:5" x14ac:dyDescent="0.25">
      <c r="A51" t="s">
        <v>146</v>
      </c>
      <c r="B51">
        <v>102</v>
      </c>
      <c r="C51">
        <v>116</v>
      </c>
      <c r="E51">
        <f t="shared" si="0"/>
        <v>14</v>
      </c>
    </row>
    <row r="52" spans="1:5" x14ac:dyDescent="0.25">
      <c r="A52" t="s">
        <v>147</v>
      </c>
      <c r="B52">
        <v>106</v>
      </c>
      <c r="C52">
        <v>105</v>
      </c>
      <c r="E52">
        <f t="shared" si="0"/>
        <v>-1</v>
      </c>
    </row>
    <row r="53" spans="1:5" x14ac:dyDescent="0.25">
      <c r="A53" t="s">
        <v>155</v>
      </c>
      <c r="B53">
        <v>108</v>
      </c>
      <c r="C53">
        <v>101</v>
      </c>
      <c r="E53">
        <f t="shared" si="0"/>
        <v>-7</v>
      </c>
    </row>
    <row r="54" spans="1:5" x14ac:dyDescent="0.25">
      <c r="A54" t="s">
        <v>158</v>
      </c>
      <c r="B54">
        <v>120</v>
      </c>
      <c r="C54">
        <v>117</v>
      </c>
      <c r="E54">
        <f t="shared" si="0"/>
        <v>-3</v>
      </c>
    </row>
    <row r="55" spans="1:5" x14ac:dyDescent="0.25">
      <c r="A55" t="s">
        <v>162</v>
      </c>
      <c r="B55">
        <v>109</v>
      </c>
      <c r="C55">
        <v>110</v>
      </c>
      <c r="E55">
        <f t="shared" si="0"/>
        <v>1</v>
      </c>
    </row>
    <row r="56" spans="1:5" x14ac:dyDescent="0.25">
      <c r="A56" t="s">
        <v>160</v>
      </c>
      <c r="B56">
        <v>135</v>
      </c>
      <c r="C56">
        <v>139</v>
      </c>
      <c r="E56">
        <f t="shared" si="0"/>
        <v>4</v>
      </c>
    </row>
    <row r="57" spans="1:5" x14ac:dyDescent="0.25">
      <c r="A57" t="s">
        <v>173</v>
      </c>
      <c r="B57">
        <v>112</v>
      </c>
      <c r="C57">
        <v>115</v>
      </c>
      <c r="E57">
        <f t="shared" si="0"/>
        <v>3</v>
      </c>
    </row>
    <row r="58" spans="1:5" x14ac:dyDescent="0.25">
      <c r="A58" t="s">
        <v>174</v>
      </c>
      <c r="B58">
        <v>118</v>
      </c>
      <c r="C58">
        <v>120</v>
      </c>
      <c r="E58">
        <f t="shared" si="0"/>
        <v>2</v>
      </c>
    </row>
    <row r="59" spans="1:5" x14ac:dyDescent="0.25">
      <c r="A59" t="s">
        <v>175</v>
      </c>
      <c r="B59">
        <v>120</v>
      </c>
      <c r="C59">
        <v>126</v>
      </c>
      <c r="E59">
        <f t="shared" si="0"/>
        <v>6</v>
      </c>
    </row>
    <row r="60" spans="1:5" x14ac:dyDescent="0.25">
      <c r="A60" t="s">
        <v>187</v>
      </c>
      <c r="B60">
        <v>127</v>
      </c>
      <c r="C60">
        <v>124</v>
      </c>
      <c r="E60">
        <f t="shared" si="0"/>
        <v>-3</v>
      </c>
    </row>
    <row r="61" spans="1:5" x14ac:dyDescent="0.25">
      <c r="A61" t="s">
        <v>186</v>
      </c>
      <c r="B61">
        <v>132</v>
      </c>
      <c r="C61">
        <v>135</v>
      </c>
      <c r="E61">
        <f t="shared" si="0"/>
        <v>3</v>
      </c>
    </row>
    <row r="63" spans="1:5" x14ac:dyDescent="0.25">
      <c r="D63" s="25"/>
      <c r="E63" s="37"/>
    </row>
    <row r="65" spans="4:6" x14ac:dyDescent="0.25">
      <c r="D65" s="25"/>
      <c r="E65" s="12"/>
      <c r="F65" s="12"/>
    </row>
    <row r="66" spans="4:6" x14ac:dyDescent="0.25">
      <c r="D66" s="25"/>
      <c r="E66" s="12"/>
      <c r="F66" s="1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About this dataset</vt:lpstr>
      <vt:lpstr>Participant characteristics</vt:lpstr>
      <vt:lpstr>LAB SESSIONS</vt:lpstr>
      <vt:lpstr>Weight (kg)</vt:lpstr>
      <vt:lpstr>BMI (kg.m2)</vt:lpstr>
      <vt:lpstr>Waist circ (cm)</vt:lpstr>
      <vt:lpstr>Hip circ (cm)</vt:lpstr>
      <vt:lpstr>Waist-hip ratio</vt:lpstr>
      <vt:lpstr>Systolic BP (mmHg)</vt:lpstr>
      <vt:lpstr>Diastolic BP (mmHg)</vt:lpstr>
      <vt:lpstr>USG</vt:lpstr>
      <vt:lpstr>RMR (kcal.day)</vt:lpstr>
      <vt:lpstr>RER (resting)</vt:lpstr>
      <vt:lpstr>Hunger_VAS</vt:lpstr>
      <vt:lpstr>Fullness_VAS</vt:lpstr>
      <vt:lpstr>How much can you eat_VAS</vt:lpstr>
      <vt:lpstr>Thirst_VAS</vt:lpstr>
      <vt:lpstr>Sweet desire_VAS</vt:lpstr>
      <vt:lpstr>Salt desire_VAS</vt:lpstr>
      <vt:lpstr>Savoury desire_VAS</vt:lpstr>
      <vt:lpstr>Fatty desire_VAS</vt:lpstr>
      <vt:lpstr>Breakfast taste ratings_VAS</vt:lpstr>
      <vt:lpstr>FC trait</vt:lpstr>
      <vt:lpstr>FC state</vt:lpstr>
      <vt:lpstr>FCI</vt:lpstr>
      <vt:lpstr>FCI consumption</vt:lpstr>
      <vt:lpstr>FCI flavour category</vt:lpstr>
      <vt:lpstr>FCI additional</vt:lpstr>
      <vt:lpstr>MEQ</vt:lpstr>
      <vt:lpstr>TFEQ restraint (factor 1)</vt:lpstr>
      <vt:lpstr>TFEQ disinhibition (f2)</vt:lpstr>
      <vt:lpstr>TFEQ hunger (f3)</vt:lpstr>
      <vt:lpstr>Glucose (mmol.L)</vt:lpstr>
      <vt:lpstr>Cholesterol (mmol.L)</vt:lpstr>
      <vt:lpstr>TG (mmol.L)</vt:lpstr>
      <vt:lpstr>Insulin (pmol.L)</vt:lpstr>
      <vt:lpstr>GLP-1 (pmol.L)</vt:lpstr>
      <vt:lpstr>FGF21 (pg.mL)</vt:lpstr>
      <vt:lpstr>INTERVENTION PERIOD</vt:lpstr>
      <vt:lpstr>Breakfast quantity</vt:lpstr>
      <vt:lpstr>Breakfast familiarity VAS</vt:lpstr>
      <vt:lpstr>Breakfast liking VAS</vt:lpstr>
      <vt:lpstr>Hunger VAS</vt:lpstr>
      <vt:lpstr>Fullness VAS</vt:lpstr>
      <vt:lpstr>How much can you eat VAS</vt:lpstr>
      <vt:lpstr>Thirst VAS</vt:lpstr>
      <vt:lpstr>Sweet desire VAS</vt:lpstr>
      <vt:lpstr>Salt desire VAS</vt:lpstr>
      <vt:lpstr>Savoury desire VAS</vt:lpstr>
      <vt:lpstr>Fatty desire VAS</vt:lpstr>
      <vt:lpstr>Energy intake (kcal.d)</vt:lpstr>
      <vt:lpstr>CHO intake (g.d)</vt:lpstr>
      <vt:lpstr>Fibre intake (g.d)</vt:lpstr>
      <vt:lpstr>Sugar intake (g)</vt:lpstr>
      <vt:lpstr>Fat intake (g.d)</vt:lpstr>
      <vt:lpstr>Saturated fat intake (g.d)</vt:lpstr>
      <vt:lpstr>Protein intake (g.d)</vt:lpstr>
      <vt:lpstr>Water intake (food+fluid; mL.d)</vt:lpstr>
      <vt:lpstr>Energy expenditure (kcal.d)</vt:lpstr>
      <vt:lpstr>Sedentary (incl sleep; kcal.d)</vt:lpstr>
      <vt:lpstr>Light activity (kcal.d)</vt:lpstr>
      <vt:lpstr>Moderate activity (kcal.d)</vt:lpstr>
      <vt:lpstr>Vigorous activity (kcal.d)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 Carroll</dc:creator>
  <cp:lastModifiedBy>IT Services</cp:lastModifiedBy>
  <dcterms:created xsi:type="dcterms:W3CDTF">2017-05-15T15:13:18Z</dcterms:created>
  <dcterms:modified xsi:type="dcterms:W3CDTF">2019-11-05T15:35:16Z</dcterms:modified>
</cp:coreProperties>
</file>