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X:\Chem Eng\ResearchProjects\CChuck\EG-CE1152 - Jackie Massaya\Experiments\SCG biorefinery paper\"/>
    </mc:Choice>
  </mc:AlternateContent>
  <xr:revisionPtr revIDLastSave="0" documentId="8_{BF02BE0D-5BA4-4349-BCC5-B222227CB336}" xr6:coauthVersionLast="45" xr6:coauthVersionMax="45" xr10:uidLastSave="{00000000-0000-0000-0000-000000000000}"/>
  <bookViews>
    <workbookView xWindow="1680" yWindow="1680" windowWidth="18810" windowHeight="9908" tabRatio="925" firstSheet="17" activeTab="22" xr2:uid="{00000000-000D-0000-FFFF-FFFF00000000}"/>
  </bookViews>
  <sheets>
    <sheet name="CGA Calibration" sheetId="1" r:id="rId1"/>
    <sheet name="1_jmswe619" sheetId="3" r:id="rId2"/>
    <sheet name="2_jmswe619" sheetId="4" r:id="rId3"/>
    <sheet name="3_jmswe619" sheetId="5" r:id="rId4"/>
    <sheet name="4_jmswe619" sheetId="6" r:id="rId5"/>
    <sheet name="5_jmswe619" sheetId="7" r:id="rId6"/>
    <sheet name="6_jmswe619" sheetId="8" r:id="rId7"/>
    <sheet name="7_jmswe619 " sheetId="46" r:id="rId8"/>
    <sheet name="8_jmswe619  " sheetId="47" r:id="rId9"/>
    <sheet name="9_jmswe619 " sheetId="48" r:id="rId10"/>
    <sheet name="10_jmswe619    " sheetId="49" r:id="rId11"/>
    <sheet name="11_jmswe619    " sheetId="50" r:id="rId12"/>
    <sheet name="12_jmswe619   " sheetId="51" r:id="rId13"/>
    <sheet name="13_jmswe619  " sheetId="52" r:id="rId14"/>
    <sheet name="14_jmswe619  " sheetId="53" r:id="rId15"/>
    <sheet name="15_jmswe619  " sheetId="54" r:id="rId16"/>
    <sheet name="16_jmswe619   " sheetId="55" r:id="rId17"/>
    <sheet name="17_jmswe619   " sheetId="56" r:id="rId18"/>
    <sheet name="18_jmswe619  " sheetId="57" r:id="rId19"/>
    <sheet name="19_jmswe619  " sheetId="58" r:id="rId20"/>
    <sheet name="20_jmswe619  " sheetId="59" r:id="rId21"/>
    <sheet name="5b_jmswe619 " sheetId="60" r:id="rId22"/>
    <sheet name="SUMMARY" sheetId="45" r:id="rId2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8" i="1" l="1"/>
  <c r="F2" i="1" l="1"/>
  <c r="F24" i="57" l="1"/>
  <c r="C10" i="57"/>
  <c r="C10" i="56"/>
  <c r="C5" i="56"/>
  <c r="C10" i="55"/>
  <c r="C5" i="55"/>
  <c r="C10" i="54"/>
  <c r="C5" i="54"/>
  <c r="C10" i="53"/>
  <c r="C5" i="53"/>
  <c r="C5" i="52"/>
  <c r="C10" i="52"/>
  <c r="C10" i="51"/>
  <c r="B14" i="51" s="1"/>
  <c r="C5" i="51"/>
  <c r="C10" i="50"/>
  <c r="C5" i="50"/>
  <c r="C10" i="49"/>
  <c r="C5" i="49"/>
  <c r="C10" i="48"/>
  <c r="C5" i="48"/>
  <c r="B14" i="48" s="1"/>
  <c r="C10" i="47"/>
  <c r="C5" i="47"/>
  <c r="C10" i="46"/>
  <c r="C5" i="46"/>
  <c r="C10" i="8"/>
  <c r="C5" i="8"/>
  <c r="C5" i="7"/>
  <c r="C10" i="7"/>
  <c r="C10" i="6"/>
  <c r="C5" i="6"/>
  <c r="C5" i="5"/>
  <c r="C10" i="5"/>
  <c r="C10" i="4"/>
  <c r="C5" i="4"/>
  <c r="C10" i="3"/>
  <c r="C5" i="3"/>
  <c r="C10" i="58"/>
  <c r="B14" i="58" s="1"/>
  <c r="C5" i="58"/>
  <c r="C5" i="60"/>
  <c r="C10" i="60"/>
  <c r="B14" i="60" s="1"/>
  <c r="C4" i="60"/>
  <c r="C9" i="60"/>
  <c r="C14" i="60"/>
  <c r="N10" i="60"/>
  <c r="A14" i="60"/>
  <c r="C9" i="59"/>
  <c r="C4" i="59"/>
  <c r="C14" i="59"/>
  <c r="B14" i="59"/>
  <c r="N10" i="59"/>
  <c r="A14" i="59"/>
  <c r="C9" i="58"/>
  <c r="C4" i="58"/>
  <c r="C14" i="58"/>
  <c r="N10" i="58"/>
  <c r="A14" i="58"/>
  <c r="C9" i="57"/>
  <c r="C4" i="57"/>
  <c r="C14" i="57"/>
  <c r="B14" i="57"/>
  <c r="N10" i="57"/>
  <c r="C9" i="56"/>
  <c r="C4" i="56"/>
  <c r="C14" i="56"/>
  <c r="N10" i="56"/>
  <c r="A14" i="56"/>
  <c r="C9" i="55"/>
  <c r="C4" i="55"/>
  <c r="C14" i="55"/>
  <c r="N10" i="55"/>
  <c r="C9" i="54"/>
  <c r="A14" i="54" s="1"/>
  <c r="C14" i="54"/>
  <c r="B14" i="54"/>
  <c r="N10" i="54"/>
  <c r="C14" i="53"/>
  <c r="B14" i="53"/>
  <c r="A14" i="53"/>
  <c r="N10" i="53"/>
  <c r="C14" i="52"/>
  <c r="B14" i="52"/>
  <c r="A14" i="52"/>
  <c r="N10" i="52"/>
  <c r="C14" i="51"/>
  <c r="A14" i="51"/>
  <c r="N10" i="51"/>
  <c r="C14" i="50"/>
  <c r="B14" i="50"/>
  <c r="A14" i="50"/>
  <c r="N10" i="50"/>
  <c r="C14" i="49"/>
  <c r="B14" i="49"/>
  <c r="A14" i="49"/>
  <c r="N10" i="49"/>
  <c r="C14" i="48"/>
  <c r="A14" i="48"/>
  <c r="N10" i="48"/>
  <c r="C14" i="47"/>
  <c r="B14" i="47"/>
  <c r="A14" i="47"/>
  <c r="N10" i="47"/>
  <c r="C14" i="46"/>
  <c r="B14" i="46"/>
  <c r="A14" i="46"/>
  <c r="N10" i="46"/>
  <c r="A14" i="57" l="1"/>
  <c r="B14" i="55"/>
  <c r="B14" i="56"/>
  <c r="A14" i="55"/>
  <c r="N10" i="8"/>
  <c r="N10" i="7"/>
  <c r="N10" i="6"/>
  <c r="N10" i="5"/>
  <c r="N10" i="4"/>
  <c r="M2" i="3"/>
  <c r="M3" i="3"/>
  <c r="M4" i="3"/>
  <c r="M5" i="3"/>
  <c r="M6" i="3"/>
  <c r="M7" i="3"/>
  <c r="M8" i="3"/>
  <c r="M9" i="3"/>
  <c r="M10" i="3"/>
  <c r="N10" i="3"/>
  <c r="M11" i="3"/>
  <c r="P10" i="1"/>
  <c r="N7" i="5" s="1"/>
  <c r="N5" i="8"/>
  <c r="P7" i="1"/>
  <c r="N7" i="4" l="1"/>
  <c r="Q8" i="1"/>
  <c r="R8" i="1" s="1"/>
  <c r="Q7" i="1"/>
  <c r="R7" i="1" s="1"/>
  <c r="N7" i="7"/>
  <c r="N5" i="7"/>
  <c r="N5" i="4"/>
  <c r="N4" i="53"/>
  <c r="N4" i="51"/>
  <c r="N4" i="59"/>
  <c r="N4" i="55"/>
  <c r="N4" i="57"/>
  <c r="N4" i="50"/>
  <c r="N4" i="48"/>
  <c r="N4" i="52"/>
  <c r="N4" i="47"/>
  <c r="N4" i="60"/>
  <c r="N4" i="58"/>
  <c r="N4" i="56"/>
  <c r="N4" i="54"/>
  <c r="N4" i="49"/>
  <c r="N4" i="46"/>
  <c r="N5" i="3"/>
  <c r="N7" i="8"/>
  <c r="N7" i="3"/>
  <c r="N7" i="46"/>
  <c r="N7" i="49"/>
  <c r="N7" i="51"/>
  <c r="N7" i="48"/>
  <c r="N7" i="53"/>
  <c r="N7" i="54"/>
  <c r="N7" i="59"/>
  <c r="N7" i="55"/>
  <c r="N7" i="57"/>
  <c r="N7" i="50"/>
  <c r="N7" i="58"/>
  <c r="N7" i="56"/>
  <c r="N7" i="52"/>
  <c r="N7" i="47"/>
  <c r="N7" i="60"/>
  <c r="N5" i="57"/>
  <c r="N5" i="50"/>
  <c r="N5" i="52"/>
  <c r="N5" i="47"/>
  <c r="N5" i="59"/>
  <c r="N5" i="60"/>
  <c r="N5" i="55"/>
  <c r="N5" i="58"/>
  <c r="N5" i="56"/>
  <c r="N5" i="54"/>
  <c r="N5" i="49"/>
  <c r="N5" i="46"/>
  <c r="N5" i="51"/>
  <c r="N5" i="48"/>
  <c r="N5" i="53"/>
  <c r="Q5" i="1"/>
  <c r="R5" i="1" s="1"/>
  <c r="N5" i="6"/>
  <c r="N4" i="5"/>
  <c r="N4" i="8"/>
  <c r="N4" i="4"/>
  <c r="N4" i="3"/>
  <c r="N4" i="7"/>
  <c r="N4" i="6"/>
  <c r="Q6" i="1"/>
  <c r="R6" i="1" s="1"/>
  <c r="P11" i="1" s="1"/>
  <c r="N8" i="8" s="1"/>
  <c r="Q9" i="1"/>
  <c r="R9" i="1" s="1"/>
  <c r="N5" i="5"/>
  <c r="N7" i="6"/>
  <c r="N8" i="53" l="1"/>
  <c r="N8" i="59"/>
  <c r="N8" i="55"/>
  <c r="N8" i="57"/>
  <c r="N8" i="50"/>
  <c r="N8" i="52"/>
  <c r="N8" i="47"/>
  <c r="N8" i="60"/>
  <c r="N8" i="51"/>
  <c r="N8" i="48"/>
  <c r="N8" i="58"/>
  <c r="N8" i="56"/>
  <c r="N8" i="54"/>
  <c r="N8" i="49"/>
  <c r="N8" i="46"/>
  <c r="N8" i="4"/>
  <c r="N8" i="5"/>
  <c r="N8" i="3"/>
  <c r="N8" i="6"/>
  <c r="N8" i="7"/>
  <c r="F6" i="1"/>
  <c r="H6" i="1" s="1"/>
  <c r="G6" i="1"/>
  <c r="C14" i="8"/>
  <c r="B14" i="8"/>
  <c r="A14" i="8"/>
  <c r="A33" i="7"/>
  <c r="C14" i="7"/>
  <c r="B14" i="7"/>
  <c r="A14" i="7"/>
  <c r="A32" i="6"/>
  <c r="C13" i="6"/>
  <c r="B13" i="6"/>
  <c r="A13" i="6"/>
  <c r="A33" i="5"/>
  <c r="C14" i="5"/>
  <c r="B14" i="5"/>
  <c r="A14" i="5"/>
  <c r="A14" i="4"/>
  <c r="A33" i="4"/>
  <c r="C14" i="4"/>
  <c r="B14" i="4"/>
  <c r="A14" i="3"/>
  <c r="A33" i="3"/>
  <c r="C14" i="3"/>
  <c r="B14" i="3"/>
  <c r="A32" i="1"/>
  <c r="A33" i="1" s="1"/>
  <c r="A34" i="1" s="1"/>
  <c r="G4" i="1"/>
  <c r="G5" i="1"/>
  <c r="F5" i="1"/>
  <c r="H5" i="1" s="1"/>
  <c r="F4" i="1"/>
  <c r="H4" i="1" s="1"/>
  <c r="G3" i="1"/>
  <c r="F3" i="1"/>
  <c r="G2" i="1"/>
  <c r="H3" i="1" l="1"/>
  <c r="K19" i="1"/>
  <c r="C33" i="4"/>
  <c r="D33" i="4" s="1"/>
  <c r="C33" i="5"/>
  <c r="D33" i="5" s="1"/>
  <c r="C33" i="7"/>
  <c r="D33" i="7" s="1"/>
  <c r="E33" i="7" s="1"/>
  <c r="H2" i="1"/>
  <c r="P9" i="1"/>
  <c r="K25" i="1" a="1"/>
  <c r="C32" i="6"/>
  <c r="D32" i="6" s="1"/>
  <c r="E32" i="6" s="1"/>
  <c r="I17" i="1"/>
  <c r="E33" i="4"/>
  <c r="C33" i="3"/>
  <c r="D33" i="3" s="1"/>
  <c r="E33" i="3" s="1"/>
  <c r="E33" i="5"/>
  <c r="N6" i="60" l="1"/>
  <c r="N6" i="58"/>
  <c r="N6" i="56"/>
  <c r="N6" i="54"/>
  <c r="N6" i="49"/>
  <c r="N6" i="46"/>
  <c r="N6" i="52"/>
  <c r="N6" i="47"/>
  <c r="N6" i="51"/>
  <c r="N6" i="48"/>
  <c r="N6" i="53"/>
  <c r="N6" i="59"/>
  <c r="N6" i="55"/>
  <c r="N6" i="57"/>
  <c r="N6" i="50"/>
  <c r="F14" i="5"/>
  <c r="K14" i="5" s="1"/>
  <c r="F5" i="45" s="1"/>
  <c r="J5" i="45" s="1"/>
  <c r="E14" i="54"/>
  <c r="J14" i="54" s="1"/>
  <c r="E16" i="45" s="1"/>
  <c r="I16" i="45" s="1"/>
  <c r="D14" i="47"/>
  <c r="I14" i="47" s="1"/>
  <c r="D9" i="45" s="1"/>
  <c r="H9" i="45" s="1"/>
  <c r="E14" i="47"/>
  <c r="J14" i="47" s="1"/>
  <c r="E9" i="45" s="1"/>
  <c r="D14" i="60"/>
  <c r="I14" i="60" s="1"/>
  <c r="D22" i="45" s="1"/>
  <c r="H22" i="45" s="1"/>
  <c r="F14" i="59"/>
  <c r="K14" i="59" s="1"/>
  <c r="F21" i="45" s="1"/>
  <c r="J21" i="45" s="1"/>
  <c r="F14" i="56"/>
  <c r="K14" i="56" s="1"/>
  <c r="F18" i="45" s="1"/>
  <c r="J18" i="45" s="1"/>
  <c r="F14" i="49"/>
  <c r="K14" i="49" s="1"/>
  <c r="F11" i="45" s="1"/>
  <c r="J11" i="45" s="1"/>
  <c r="E14" i="60"/>
  <c r="J14" i="60" s="1"/>
  <c r="E22" i="45" s="1"/>
  <c r="E14" i="46"/>
  <c r="J14" i="46" s="1"/>
  <c r="E8" i="45" s="1"/>
  <c r="I8" i="45" s="1"/>
  <c r="D14" i="57"/>
  <c r="I14" i="57" s="1"/>
  <c r="D19" i="45" s="1"/>
  <c r="F14" i="52"/>
  <c r="K14" i="52" s="1"/>
  <c r="F14" i="45" s="1"/>
  <c r="J14" i="45" s="1"/>
  <c r="F14" i="54"/>
  <c r="K14" i="54" s="1"/>
  <c r="F16" i="45" s="1"/>
  <c r="J16" i="45" s="1"/>
  <c r="D14" i="54"/>
  <c r="I14" i="54" s="1"/>
  <c r="D16" i="45" s="1"/>
  <c r="D14" i="49"/>
  <c r="I14" i="49" s="1"/>
  <c r="D11" i="45" s="1"/>
  <c r="E14" i="57"/>
  <c r="J14" i="57" s="1"/>
  <c r="E19" i="45" s="1"/>
  <c r="I19" i="45" s="1"/>
  <c r="E14" i="52"/>
  <c r="J14" i="52" s="1"/>
  <c r="E14" i="45" s="1"/>
  <c r="I14" i="45" s="1"/>
  <c r="E14" i="48"/>
  <c r="J14" i="48" s="1"/>
  <c r="E10" i="45" s="1"/>
  <c r="I10" i="45" s="1"/>
  <c r="F14" i="53"/>
  <c r="K14" i="53" s="1"/>
  <c r="F15" i="45" s="1"/>
  <c r="J15" i="45" s="1"/>
  <c r="F14" i="50"/>
  <c r="K14" i="50" s="1"/>
  <c r="F12" i="45" s="1"/>
  <c r="J12" i="45" s="1"/>
  <c r="D14" i="51"/>
  <c r="I14" i="51" s="1"/>
  <c r="D13" i="45" s="1"/>
  <c r="D14" i="52"/>
  <c r="I14" i="52" s="1"/>
  <c r="D14" i="45" s="1"/>
  <c r="F14" i="51"/>
  <c r="K14" i="51" s="1"/>
  <c r="F13" i="45" s="1"/>
  <c r="J13" i="45" s="1"/>
  <c r="D14" i="46"/>
  <c r="I14" i="46" s="1"/>
  <c r="D8" i="45" s="1"/>
  <c r="D14" i="48"/>
  <c r="I14" i="48" s="1"/>
  <c r="D10" i="45" s="1"/>
  <c r="F14" i="60"/>
  <c r="K14" i="60" s="1"/>
  <c r="F22" i="45" s="1"/>
  <c r="J22" i="45" s="1"/>
  <c r="D14" i="58"/>
  <c r="I14" i="58" s="1"/>
  <c r="D20" i="45" s="1"/>
  <c r="H20" i="45" s="1"/>
  <c r="F14" i="57"/>
  <c r="K14" i="57" s="1"/>
  <c r="F19" i="45" s="1"/>
  <c r="J19" i="45" s="1"/>
  <c r="F14" i="46"/>
  <c r="K14" i="46" s="1"/>
  <c r="F8" i="45" s="1"/>
  <c r="J8" i="45" s="1"/>
  <c r="E14" i="50"/>
  <c r="J14" i="50" s="1"/>
  <c r="E12" i="45" s="1"/>
  <c r="I12" i="45" s="1"/>
  <c r="E14" i="56"/>
  <c r="J14" i="56" s="1"/>
  <c r="E18" i="45" s="1"/>
  <c r="D14" i="59"/>
  <c r="I14" i="59" s="1"/>
  <c r="D21" i="45" s="1"/>
  <c r="H21" i="45" s="1"/>
  <c r="D14" i="56"/>
  <c r="I14" i="56" s="1"/>
  <c r="D18" i="45" s="1"/>
  <c r="H18" i="45" s="1"/>
  <c r="E14" i="51"/>
  <c r="J14" i="51" s="1"/>
  <c r="E13" i="45" s="1"/>
  <c r="I13" i="45" s="1"/>
  <c r="D14" i="53"/>
  <c r="I14" i="53" s="1"/>
  <c r="D15" i="45" s="1"/>
  <c r="E14" i="58"/>
  <c r="J14" i="58" s="1"/>
  <c r="E20" i="45" s="1"/>
  <c r="I20" i="45" s="1"/>
  <c r="F14" i="47"/>
  <c r="K14" i="47" s="1"/>
  <c r="F9" i="45" s="1"/>
  <c r="J9" i="45" s="1"/>
  <c r="E14" i="53"/>
  <c r="J14" i="53" s="1"/>
  <c r="E15" i="45" s="1"/>
  <c r="I15" i="45" s="1"/>
  <c r="E14" i="59"/>
  <c r="J14" i="59" s="1"/>
  <c r="E21" i="45" s="1"/>
  <c r="E14" i="49"/>
  <c r="J14" i="49" s="1"/>
  <c r="E11" i="45" s="1"/>
  <c r="I11" i="45" s="1"/>
  <c r="F14" i="48"/>
  <c r="K14" i="48" s="1"/>
  <c r="F10" i="45" s="1"/>
  <c r="J10" i="45" s="1"/>
  <c r="F14" i="58"/>
  <c r="K14" i="58" s="1"/>
  <c r="F20" i="45" s="1"/>
  <c r="F14" i="55"/>
  <c r="K14" i="55" s="1"/>
  <c r="F17" i="45" s="1"/>
  <c r="J17" i="45" s="1"/>
  <c r="D14" i="50"/>
  <c r="I14" i="50" s="1"/>
  <c r="D12" i="45" s="1"/>
  <c r="D14" i="55"/>
  <c r="I14" i="55" s="1"/>
  <c r="D17" i="45" s="1"/>
  <c r="H17" i="45" s="1"/>
  <c r="E14" i="55"/>
  <c r="J14" i="55" s="1"/>
  <c r="E17" i="45" s="1"/>
  <c r="F14" i="7"/>
  <c r="K14" i="7" s="1"/>
  <c r="D14" i="5"/>
  <c r="I14" i="5" s="1"/>
  <c r="D14" i="8"/>
  <c r="I14" i="8" s="1"/>
  <c r="D13" i="6"/>
  <c r="I14" i="6" s="1"/>
  <c r="D14" i="4"/>
  <c r="I14" i="4" s="1"/>
  <c r="F14" i="4"/>
  <c r="K14" i="4" s="1"/>
  <c r="E14" i="5"/>
  <c r="J14" i="5" s="1"/>
  <c r="F13" i="6"/>
  <c r="K14" i="6" s="1"/>
  <c r="F14" i="8"/>
  <c r="K14" i="8" s="1"/>
  <c r="E14" i="3"/>
  <c r="J14" i="3" s="1"/>
  <c r="E13" i="6"/>
  <c r="J14" i="6" s="1"/>
  <c r="E14" i="7"/>
  <c r="J14" i="7" s="1"/>
  <c r="D14" i="7"/>
  <c r="I14" i="7" s="1"/>
  <c r="E14" i="4"/>
  <c r="J14" i="4" s="1"/>
  <c r="E14" i="8"/>
  <c r="J14" i="8" s="1"/>
  <c r="F14" i="3"/>
  <c r="K14" i="3" s="1"/>
  <c r="L25" i="1"/>
  <c r="K29" i="1"/>
  <c r="L27" i="1"/>
  <c r="P12" i="1" s="1"/>
  <c r="K28" i="1"/>
  <c r="K25" i="1"/>
  <c r="P6" i="1" s="1"/>
  <c r="L28" i="1"/>
  <c r="L29" i="1"/>
  <c r="K27" i="1"/>
  <c r="L26" i="1"/>
  <c r="K26" i="1"/>
  <c r="P5" i="1" s="1"/>
  <c r="D14" i="3"/>
  <c r="I14" i="3" s="1"/>
  <c r="K20" i="1"/>
  <c r="K22" i="1" s="1"/>
  <c r="N6" i="6"/>
  <c r="N6" i="5"/>
  <c r="N6" i="8"/>
  <c r="N6" i="4"/>
  <c r="N6" i="7"/>
  <c r="N6" i="3"/>
  <c r="H10" i="45" l="1"/>
  <c r="G10" i="45"/>
  <c r="G22" i="45"/>
  <c r="I22" i="45"/>
  <c r="G8" i="45"/>
  <c r="H8" i="45"/>
  <c r="G17" i="45"/>
  <c r="I17" i="45"/>
  <c r="H14" i="45"/>
  <c r="G14" i="45"/>
  <c r="H16" i="45"/>
  <c r="G16" i="45"/>
  <c r="G11" i="45"/>
  <c r="H11" i="45"/>
  <c r="G13" i="45"/>
  <c r="H13" i="45"/>
  <c r="G18" i="45"/>
  <c r="I18" i="45"/>
  <c r="G12" i="45"/>
  <c r="H12" i="45"/>
  <c r="G9" i="45"/>
  <c r="I9" i="45"/>
  <c r="G15" i="45"/>
  <c r="H15" i="45"/>
  <c r="G19" i="45"/>
  <c r="H19" i="45"/>
  <c r="G21" i="45"/>
  <c r="I21" i="45"/>
  <c r="G20" i="45"/>
  <c r="J20" i="45"/>
  <c r="H18" i="47"/>
  <c r="I18" i="47" s="1"/>
  <c r="H17" i="47"/>
  <c r="I17" i="47" s="1"/>
  <c r="H19" i="47"/>
  <c r="I19" i="47" s="1"/>
  <c r="N9" i="57"/>
  <c r="N9" i="50"/>
  <c r="N9" i="52"/>
  <c r="N9" i="47"/>
  <c r="N9" i="60"/>
  <c r="N9" i="59"/>
  <c r="N9" i="58"/>
  <c r="N9" i="56"/>
  <c r="N9" i="54"/>
  <c r="N9" i="49"/>
  <c r="N9" i="46"/>
  <c r="N9" i="55"/>
  <c r="N9" i="51"/>
  <c r="N9" i="48"/>
  <c r="N9" i="53"/>
  <c r="H17" i="50"/>
  <c r="I17" i="50" s="1"/>
  <c r="H18" i="50"/>
  <c r="I18" i="50" s="1"/>
  <c r="H19" i="50"/>
  <c r="I19" i="50" s="1"/>
  <c r="H19" i="52"/>
  <c r="I19" i="52" s="1"/>
  <c r="H18" i="52"/>
  <c r="I18" i="52" s="1"/>
  <c r="H17" i="52"/>
  <c r="I17" i="52" s="1"/>
  <c r="H17" i="46"/>
  <c r="I17" i="46" s="1"/>
  <c r="H19" i="46"/>
  <c r="I19" i="46" s="1"/>
  <c r="H18" i="46"/>
  <c r="I18" i="46" s="1"/>
  <c r="H19" i="55"/>
  <c r="I19" i="55" s="1"/>
  <c r="H18" i="55"/>
  <c r="I18" i="55" s="1"/>
  <c r="H17" i="55"/>
  <c r="I17" i="55" s="1"/>
  <c r="H18" i="49"/>
  <c r="I18" i="49" s="1"/>
  <c r="H17" i="49"/>
  <c r="I17" i="49" s="1"/>
  <c r="H19" i="49"/>
  <c r="I19" i="49" s="1"/>
  <c r="H17" i="59"/>
  <c r="I17" i="59" s="1"/>
  <c r="H19" i="59"/>
  <c r="I19" i="59" s="1"/>
  <c r="H18" i="59"/>
  <c r="I18" i="59" s="1"/>
  <c r="H17" i="54"/>
  <c r="I17" i="54" s="1"/>
  <c r="H19" i="54"/>
  <c r="I19" i="54" s="1"/>
  <c r="H18" i="54"/>
  <c r="I18" i="54" s="1"/>
  <c r="N2" i="46"/>
  <c r="N2" i="52"/>
  <c r="N2" i="60"/>
  <c r="N2" i="54"/>
  <c r="N2" i="49"/>
  <c r="N2" i="58"/>
  <c r="N2" i="56"/>
  <c r="N2" i="51"/>
  <c r="N2" i="48"/>
  <c r="N2" i="53"/>
  <c r="N2" i="55"/>
  <c r="N2" i="47"/>
  <c r="N2" i="59"/>
  <c r="N2" i="57"/>
  <c r="N2" i="50"/>
  <c r="H19" i="57"/>
  <c r="I19" i="57" s="1"/>
  <c r="H17" i="57"/>
  <c r="I17" i="57" s="1"/>
  <c r="H18" i="57"/>
  <c r="I18" i="57" s="1"/>
  <c r="H17" i="53"/>
  <c r="I17" i="53" s="1"/>
  <c r="H18" i="53"/>
  <c r="I18" i="53" s="1"/>
  <c r="H19" i="53"/>
  <c r="I19" i="53" s="1"/>
  <c r="H17" i="56"/>
  <c r="I17" i="56" s="1"/>
  <c r="H19" i="56"/>
  <c r="I19" i="56" s="1"/>
  <c r="H18" i="56"/>
  <c r="I18" i="56" s="1"/>
  <c r="H19" i="48"/>
  <c r="I19" i="48" s="1"/>
  <c r="H17" i="48"/>
  <c r="I17" i="48" s="1"/>
  <c r="H18" i="48"/>
  <c r="I18" i="48" s="1"/>
  <c r="H18" i="58"/>
  <c r="I18" i="58" s="1"/>
  <c r="H19" i="58"/>
  <c r="I19" i="58" s="1"/>
  <c r="H17" i="58"/>
  <c r="I17" i="58" s="1"/>
  <c r="N3" i="58"/>
  <c r="N3" i="56"/>
  <c r="N3" i="46"/>
  <c r="N3" i="54"/>
  <c r="N3" i="49"/>
  <c r="N3" i="51"/>
  <c r="N3" i="48"/>
  <c r="N3" i="53"/>
  <c r="N3" i="55"/>
  <c r="N3" i="59"/>
  <c r="N3" i="57"/>
  <c r="N3" i="50"/>
  <c r="N3" i="60"/>
  <c r="N3" i="52"/>
  <c r="N3" i="47"/>
  <c r="H18" i="51"/>
  <c r="I18" i="51" s="1"/>
  <c r="H19" i="51"/>
  <c r="I19" i="51" s="1"/>
  <c r="H17" i="51"/>
  <c r="I17" i="51" s="1"/>
  <c r="H17" i="60"/>
  <c r="I17" i="60" s="1"/>
  <c r="H18" i="60"/>
  <c r="I18" i="60" s="1"/>
  <c r="H19" i="60"/>
  <c r="I19" i="60" s="1"/>
  <c r="F3" i="45"/>
  <c r="J3" i="45" s="1"/>
  <c r="F7" i="45"/>
  <c r="J7" i="45" s="1"/>
  <c r="H19" i="7"/>
  <c r="I19" i="7" s="1"/>
  <c r="H17" i="7"/>
  <c r="I17" i="7" s="1"/>
  <c r="H18" i="7"/>
  <c r="I18" i="7" s="1"/>
  <c r="H18" i="4"/>
  <c r="I18" i="4" s="1"/>
  <c r="H17" i="4"/>
  <c r="I17" i="4" s="1"/>
  <c r="H19" i="4"/>
  <c r="I19" i="4" s="1"/>
  <c r="N3" i="3"/>
  <c r="N3" i="8"/>
  <c r="N3" i="4"/>
  <c r="N3" i="5"/>
  <c r="N3" i="6"/>
  <c r="N3" i="7"/>
  <c r="E6" i="45"/>
  <c r="I6" i="45" s="1"/>
  <c r="D4" i="45"/>
  <c r="D5" i="45"/>
  <c r="H17" i="5"/>
  <c r="I17" i="5" s="1"/>
  <c r="H18" i="5"/>
  <c r="I18" i="5" s="1"/>
  <c r="H19" i="5"/>
  <c r="I19" i="5" s="1"/>
  <c r="E3" i="45"/>
  <c r="I3" i="45" s="1"/>
  <c r="F6" i="45"/>
  <c r="J6" i="45" s="1"/>
  <c r="K21" i="1"/>
  <c r="H18" i="8"/>
  <c r="I18" i="8" s="1"/>
  <c r="H17" i="8"/>
  <c r="I17" i="8" s="1"/>
  <c r="H19" i="8"/>
  <c r="I19" i="8" s="1"/>
  <c r="H19" i="6"/>
  <c r="I19" i="6" s="1"/>
  <c r="H17" i="6"/>
  <c r="I17" i="6" s="1"/>
  <c r="H18" i="6"/>
  <c r="I18" i="6" s="1"/>
  <c r="D3" i="45"/>
  <c r="E5" i="45"/>
  <c r="I5" i="45" s="1"/>
  <c r="E4" i="45"/>
  <c r="I4" i="45" s="1"/>
  <c r="N9" i="7"/>
  <c r="P14" i="1"/>
  <c r="N9" i="3"/>
  <c r="N9" i="5"/>
  <c r="N9" i="8"/>
  <c r="N9" i="4"/>
  <c r="N9" i="6"/>
  <c r="N2" i="8"/>
  <c r="N2" i="4"/>
  <c r="N2" i="7"/>
  <c r="N2" i="6"/>
  <c r="N2" i="5"/>
  <c r="N2" i="3"/>
  <c r="D7" i="45"/>
  <c r="H19" i="3"/>
  <c r="I19" i="3" s="1"/>
  <c r="H18" i="3"/>
  <c r="I18" i="3" s="1"/>
  <c r="H17" i="3"/>
  <c r="I17" i="3" s="1"/>
  <c r="E7" i="45"/>
  <c r="I7" i="45" s="1"/>
  <c r="F4" i="45"/>
  <c r="J4" i="45" s="1"/>
  <c r="D6" i="45"/>
  <c r="N11" i="46" l="1"/>
  <c r="J18" i="46" s="1"/>
  <c r="K18" i="46" s="1"/>
  <c r="L18" i="46" s="1"/>
  <c r="M9" i="45" s="1"/>
  <c r="Q9" i="45" s="1"/>
  <c r="N11" i="54"/>
  <c r="J19" i="54" s="1"/>
  <c r="K19" i="54" s="1"/>
  <c r="L19" i="54" s="1"/>
  <c r="N17" i="45" s="1"/>
  <c r="R17" i="45" s="1"/>
  <c r="N11" i="51"/>
  <c r="J17" i="51" s="1"/>
  <c r="K17" i="51" s="1"/>
  <c r="L17" i="51" s="1"/>
  <c r="L14" i="45" s="1"/>
  <c r="P14" i="45" s="1"/>
  <c r="N11" i="48"/>
  <c r="J19" i="48" s="1"/>
  <c r="K19" i="48" s="1"/>
  <c r="L19" i="48" s="1"/>
  <c r="N11" i="45" s="1"/>
  <c r="R11" i="45" s="1"/>
  <c r="N11" i="49"/>
  <c r="N11" i="53"/>
  <c r="J17" i="53" s="1"/>
  <c r="K17" i="53" s="1"/>
  <c r="L17" i="53" s="1"/>
  <c r="L16" i="45" s="1"/>
  <c r="N11" i="59"/>
  <c r="N11" i="55"/>
  <c r="J19" i="55" s="1"/>
  <c r="K19" i="55" s="1"/>
  <c r="L19" i="55" s="1"/>
  <c r="N18" i="45" s="1"/>
  <c r="R18" i="45" s="1"/>
  <c r="N11" i="56"/>
  <c r="J17" i="56" s="1"/>
  <c r="K17" i="56" s="1"/>
  <c r="L17" i="56" s="1"/>
  <c r="L19" i="45" s="1"/>
  <c r="N11" i="57"/>
  <c r="J17" i="57" s="1"/>
  <c r="K17" i="57" s="1"/>
  <c r="L17" i="57" s="1"/>
  <c r="L20" i="45" s="1"/>
  <c r="N11" i="50"/>
  <c r="N11" i="52"/>
  <c r="N11" i="47"/>
  <c r="J18" i="47" s="1"/>
  <c r="K18" i="47" s="1"/>
  <c r="L18" i="47" s="1"/>
  <c r="M10" i="45" s="1"/>
  <c r="N11" i="60"/>
  <c r="J19" i="60" s="1"/>
  <c r="K19" i="60" s="1"/>
  <c r="L19" i="60" s="1"/>
  <c r="N22" i="45" s="1"/>
  <c r="R22" i="45" s="1"/>
  <c r="N11" i="58"/>
  <c r="J19" i="58" s="1"/>
  <c r="K19" i="58" s="1"/>
  <c r="L19" i="58" s="1"/>
  <c r="G7" i="45"/>
  <c r="H7" i="45"/>
  <c r="H4" i="45"/>
  <c r="G4" i="45"/>
  <c r="N11" i="3"/>
  <c r="N11" i="8"/>
  <c r="J19" i="8" s="1"/>
  <c r="K19" i="8" s="1"/>
  <c r="L19" i="8" s="1"/>
  <c r="N8" i="45" s="1"/>
  <c r="R8" i="45" s="1"/>
  <c r="N11" i="4"/>
  <c r="J17" i="4" s="1"/>
  <c r="K17" i="4" s="1"/>
  <c r="L17" i="4" s="1"/>
  <c r="N11" i="7"/>
  <c r="J17" i="7" s="1"/>
  <c r="K17" i="7" s="1"/>
  <c r="L17" i="7" s="1"/>
  <c r="N11" i="5"/>
  <c r="J19" i="5" s="1"/>
  <c r="K19" i="5" s="1"/>
  <c r="L19" i="5" s="1"/>
  <c r="N5" i="45" s="1"/>
  <c r="R5" i="45" s="1"/>
  <c r="N11" i="6"/>
  <c r="G5" i="45"/>
  <c r="H5" i="45"/>
  <c r="H3" i="45"/>
  <c r="G3" i="45"/>
  <c r="H6" i="45"/>
  <c r="G6" i="45"/>
  <c r="L7" i="45" l="1"/>
  <c r="L4" i="45"/>
  <c r="Q10" i="45"/>
  <c r="P16" i="45"/>
  <c r="P20" i="45"/>
  <c r="P19" i="45"/>
  <c r="J18" i="8"/>
  <c r="K18" i="8" s="1"/>
  <c r="L18" i="8" s="1"/>
  <c r="M8" i="45" s="1"/>
  <c r="Q8" i="45" s="1"/>
  <c r="J19" i="7"/>
  <c r="K19" i="7" s="1"/>
  <c r="L19" i="7" s="1"/>
  <c r="J19" i="4"/>
  <c r="K19" i="4" s="1"/>
  <c r="L19" i="4" s="1"/>
  <c r="J17" i="47"/>
  <c r="K17" i="47" s="1"/>
  <c r="L17" i="47" s="1"/>
  <c r="L10" i="45" s="1"/>
  <c r="P10" i="45" s="1"/>
  <c r="J19" i="47"/>
  <c r="K19" i="47" s="1"/>
  <c r="L19" i="47" s="1"/>
  <c r="N10" i="45" s="1"/>
  <c r="R10" i="45" s="1"/>
  <c r="J18" i="4"/>
  <c r="K18" i="4" s="1"/>
  <c r="L18" i="4" s="1"/>
  <c r="J17" i="55"/>
  <c r="K17" i="55" s="1"/>
  <c r="L17" i="55" s="1"/>
  <c r="L18" i="45" s="1"/>
  <c r="P18" i="45" s="1"/>
  <c r="J18" i="49"/>
  <c r="K18" i="49" s="1"/>
  <c r="L18" i="49" s="1"/>
  <c r="M12" i="45" s="1"/>
  <c r="Q12" i="45" s="1"/>
  <c r="J19" i="49"/>
  <c r="K19" i="49" s="1"/>
  <c r="L19" i="49" s="1"/>
  <c r="N12" i="45" s="1"/>
  <c r="R12" i="45" s="1"/>
  <c r="J17" i="49"/>
  <c r="K17" i="49" s="1"/>
  <c r="L17" i="49" s="1"/>
  <c r="L12" i="45" s="1"/>
  <c r="J18" i="51"/>
  <c r="K18" i="51" s="1"/>
  <c r="L18" i="51" s="1"/>
  <c r="M14" i="45" s="1"/>
  <c r="J19" i="52"/>
  <c r="K19" i="52" s="1"/>
  <c r="L19" i="52" s="1"/>
  <c r="N15" i="45" s="1"/>
  <c r="R15" i="45" s="1"/>
  <c r="J17" i="52"/>
  <c r="K17" i="52" s="1"/>
  <c r="L17" i="52" s="1"/>
  <c r="L15" i="45" s="1"/>
  <c r="J18" i="52"/>
  <c r="K18" i="52" s="1"/>
  <c r="L18" i="52" s="1"/>
  <c r="M15" i="45" s="1"/>
  <c r="Q15" i="45" s="1"/>
  <c r="J18" i="59"/>
  <c r="K18" i="59" s="1"/>
  <c r="L18" i="59" s="1"/>
  <c r="M21" i="45" s="1"/>
  <c r="Q21" i="45" s="1"/>
  <c r="J19" i="59"/>
  <c r="K19" i="59" s="1"/>
  <c r="L19" i="59" s="1"/>
  <c r="N21" i="45" s="1"/>
  <c r="R21" i="45" s="1"/>
  <c r="J17" i="59"/>
  <c r="K17" i="59" s="1"/>
  <c r="L17" i="59" s="1"/>
  <c r="L21" i="45" s="1"/>
  <c r="J17" i="58"/>
  <c r="K17" i="58" s="1"/>
  <c r="L17" i="58" s="1"/>
  <c r="J19" i="50"/>
  <c r="K19" i="50" s="1"/>
  <c r="L19" i="50" s="1"/>
  <c r="N13" i="45" s="1"/>
  <c r="R13" i="45" s="1"/>
  <c r="J17" i="50"/>
  <c r="K17" i="50" s="1"/>
  <c r="L17" i="50" s="1"/>
  <c r="L13" i="45" s="1"/>
  <c r="J17" i="48"/>
  <c r="K17" i="48" s="1"/>
  <c r="L17" i="48" s="1"/>
  <c r="L11" i="45" s="1"/>
  <c r="J18" i="50"/>
  <c r="K18" i="50" s="1"/>
  <c r="L18" i="50" s="1"/>
  <c r="M13" i="45" s="1"/>
  <c r="Q13" i="45" s="1"/>
  <c r="J18" i="56"/>
  <c r="K18" i="56" s="1"/>
  <c r="L18" i="56" s="1"/>
  <c r="M19" i="45" s="1"/>
  <c r="Q19" i="45" s="1"/>
  <c r="J19" i="56"/>
  <c r="K19" i="56" s="1"/>
  <c r="L19" i="56" s="1"/>
  <c r="N19" i="45" s="1"/>
  <c r="R19" i="45" s="1"/>
  <c r="J17" i="46"/>
  <c r="K17" i="46" s="1"/>
  <c r="L17" i="46" s="1"/>
  <c r="L9" i="45" s="1"/>
  <c r="J19" i="46"/>
  <c r="K19" i="46" s="1"/>
  <c r="L19" i="46" s="1"/>
  <c r="N9" i="45" s="1"/>
  <c r="R9" i="45" s="1"/>
  <c r="J18" i="48"/>
  <c r="K18" i="48" s="1"/>
  <c r="L18" i="48" s="1"/>
  <c r="M11" i="45" s="1"/>
  <c r="Q11" i="45" s="1"/>
  <c r="J17" i="60"/>
  <c r="K17" i="60" s="1"/>
  <c r="L17" i="60" s="1"/>
  <c r="L22" i="45" s="1"/>
  <c r="P22" i="45" s="1"/>
  <c r="J18" i="53"/>
  <c r="K18" i="53" s="1"/>
  <c r="L18" i="53" s="1"/>
  <c r="M16" i="45" s="1"/>
  <c r="Q16" i="45" s="1"/>
  <c r="J18" i="7"/>
  <c r="K18" i="7" s="1"/>
  <c r="L18" i="7" s="1"/>
  <c r="J18" i="58"/>
  <c r="K18" i="58" s="1"/>
  <c r="L18" i="58" s="1"/>
  <c r="J19" i="57"/>
  <c r="K19" i="57" s="1"/>
  <c r="L19" i="57" s="1"/>
  <c r="N20" i="45" s="1"/>
  <c r="R20" i="45" s="1"/>
  <c r="J18" i="57"/>
  <c r="K18" i="57" s="1"/>
  <c r="L18" i="57" s="1"/>
  <c r="M20" i="45" s="1"/>
  <c r="Q20" i="45" s="1"/>
  <c r="J17" i="54"/>
  <c r="K17" i="54" s="1"/>
  <c r="L17" i="54" s="1"/>
  <c r="L17" i="45" s="1"/>
  <c r="J18" i="54"/>
  <c r="K18" i="54" s="1"/>
  <c r="L18" i="54" s="1"/>
  <c r="M17" i="45" s="1"/>
  <c r="Q17" i="45" s="1"/>
  <c r="J19" i="51"/>
  <c r="K19" i="51" s="1"/>
  <c r="L19" i="51" s="1"/>
  <c r="N14" i="45" s="1"/>
  <c r="R14" i="45" s="1"/>
  <c r="J18" i="60"/>
  <c r="K18" i="60" s="1"/>
  <c r="L18" i="60" s="1"/>
  <c r="M22" i="45" s="1"/>
  <c r="J19" i="53"/>
  <c r="K19" i="53" s="1"/>
  <c r="L19" i="53" s="1"/>
  <c r="N16" i="45" s="1"/>
  <c r="R16" i="45" s="1"/>
  <c r="J18" i="55"/>
  <c r="K18" i="55" s="1"/>
  <c r="L18" i="55" s="1"/>
  <c r="M18" i="45" s="1"/>
  <c r="J19" i="3"/>
  <c r="K19" i="3" s="1"/>
  <c r="L19" i="3" s="1"/>
  <c r="N3" i="45" s="1"/>
  <c r="R3" i="45" s="1"/>
  <c r="J18" i="3"/>
  <c r="K18" i="3" s="1"/>
  <c r="L18" i="3" s="1"/>
  <c r="M3" i="45" s="1"/>
  <c r="Q3" i="45" s="1"/>
  <c r="J17" i="3"/>
  <c r="K17" i="3" s="1"/>
  <c r="L17" i="3" s="1"/>
  <c r="L3" i="45" s="1"/>
  <c r="J18" i="6"/>
  <c r="K18" i="6" s="1"/>
  <c r="L18" i="6" s="1"/>
  <c r="M6" i="45" s="1"/>
  <c r="Q6" i="45" s="1"/>
  <c r="J19" i="6"/>
  <c r="K19" i="6" s="1"/>
  <c r="L19" i="6" s="1"/>
  <c r="N6" i="45" s="1"/>
  <c r="R6" i="45" s="1"/>
  <c r="J17" i="6"/>
  <c r="K17" i="6" s="1"/>
  <c r="L17" i="6" s="1"/>
  <c r="L6" i="45" s="1"/>
  <c r="J17" i="5"/>
  <c r="K17" i="5" s="1"/>
  <c r="L17" i="5" s="1"/>
  <c r="L5" i="45" s="1"/>
  <c r="J18" i="5"/>
  <c r="K18" i="5" s="1"/>
  <c r="L18" i="5" s="1"/>
  <c r="M5" i="45" s="1"/>
  <c r="Q5" i="45" s="1"/>
  <c r="J17" i="8"/>
  <c r="K17" i="8" s="1"/>
  <c r="L17" i="8" s="1"/>
  <c r="L8" i="45" s="1"/>
  <c r="O14" i="45" l="1"/>
  <c r="Q14" i="45"/>
  <c r="N7" i="45"/>
  <c r="R7" i="45" s="1"/>
  <c r="N4" i="45"/>
  <c r="R4" i="45" s="1"/>
  <c r="O16" i="45"/>
  <c r="O17" i="45"/>
  <c r="P17" i="45"/>
  <c r="O12" i="45"/>
  <c r="P12" i="45"/>
  <c r="O10" i="45"/>
  <c r="O19" i="45"/>
  <c r="P4" i="45"/>
  <c r="O21" i="45"/>
  <c r="P21" i="45"/>
  <c r="O18" i="45"/>
  <c r="Q18" i="45"/>
  <c r="O5" i="45"/>
  <c r="P5" i="45"/>
  <c r="M7" i="45"/>
  <c r="Q7" i="45" s="1"/>
  <c r="M4" i="45"/>
  <c r="Q4" i="45" s="1"/>
  <c r="P7" i="45"/>
  <c r="O6" i="45"/>
  <c r="P6" i="45"/>
  <c r="O22" i="45"/>
  <c r="Q22" i="45"/>
  <c r="O11" i="45"/>
  <c r="P11" i="45"/>
  <c r="O15" i="45"/>
  <c r="P15" i="45"/>
  <c r="O20" i="45"/>
  <c r="O3" i="45"/>
  <c r="P3" i="45"/>
  <c r="O9" i="45"/>
  <c r="P9" i="45"/>
  <c r="O8" i="45"/>
  <c r="P8" i="45"/>
  <c r="O13" i="45"/>
  <c r="P13" i="45"/>
  <c r="O4" i="45" l="1"/>
  <c r="O7" i="45"/>
</calcChain>
</file>

<file path=xl/sharedStrings.xml><?xml version="1.0" encoding="utf-8"?>
<sst xmlns="http://schemas.openxmlformats.org/spreadsheetml/2006/main" count="1420" uniqueCount="94">
  <si>
    <t>Area</t>
  </si>
  <si>
    <t>Average</t>
  </si>
  <si>
    <t>std dev</t>
  </si>
  <si>
    <t>RF</t>
  </si>
  <si>
    <t>conc (ug/mL)</t>
  </si>
  <si>
    <t>repeat</t>
  </si>
  <si>
    <t>CGA</t>
  </si>
  <si>
    <t>#</t>
  </si>
  <si>
    <t>Time</t>
  </si>
  <si>
    <t>Height</t>
  </si>
  <si>
    <t>Width</t>
  </si>
  <si>
    <t>Area%</t>
  </si>
  <si>
    <t>Symmetry</t>
  </si>
  <si>
    <t>isomer</t>
  </si>
  <si>
    <t>PEAK AREA</t>
  </si>
  <si>
    <t xml:space="preserve">DILUTION </t>
  </si>
  <si>
    <t>MULTIPLIER</t>
  </si>
  <si>
    <t>REAL CONCENTRATION mg/ml</t>
  </si>
  <si>
    <t>3CGA</t>
  </si>
  <si>
    <t>4CGA</t>
  </si>
  <si>
    <t>5CGA</t>
  </si>
  <si>
    <t>yo - mean y</t>
  </si>
  <si>
    <t>(yo - mean y)^2</t>
  </si>
  <si>
    <t>Error in y</t>
  </si>
  <si>
    <t>Real error</t>
  </si>
  <si>
    <t>CAFF</t>
  </si>
  <si>
    <t>GRAPH CONCENTRATION ug/ml</t>
  </si>
  <si>
    <t>Concentration mg/mL</t>
  </si>
  <si>
    <t>Concentration mg/ g SCG</t>
  </si>
  <si>
    <t>SCG (g)</t>
  </si>
  <si>
    <t>H2O (mL)</t>
  </si>
  <si>
    <t>Total</t>
  </si>
  <si>
    <t xml:space="preserve">STEYX </t>
  </si>
  <si>
    <t>SLOPE</t>
  </si>
  <si>
    <t>LOD</t>
  </si>
  <si>
    <t>LOQ</t>
  </si>
  <si>
    <t>UG</t>
  </si>
  <si>
    <t>ug/mL</t>
  </si>
  <si>
    <t>Slope</t>
  </si>
  <si>
    <t>Standard Error in slope</t>
  </si>
  <si>
    <t>Rsquared</t>
  </si>
  <si>
    <t>F Statistic</t>
  </si>
  <si>
    <t>Regression sum of squares</t>
  </si>
  <si>
    <t>Constant</t>
  </si>
  <si>
    <t>Error value in constant</t>
  </si>
  <si>
    <t>Standard error in y estimate</t>
  </si>
  <si>
    <t>Degrees of Freedom</t>
  </si>
  <si>
    <t>Residual sum of squares</t>
  </si>
  <si>
    <t>standard error in slope sb</t>
  </si>
  <si>
    <t>b</t>
  </si>
  <si>
    <t>1/m</t>
  </si>
  <si>
    <t>1/n</t>
  </si>
  <si>
    <t>mean y</t>
  </si>
  <si>
    <t>mean x</t>
  </si>
  <si>
    <t>sum xi-mean x</t>
  </si>
  <si>
    <t>standard error in regression, s yx</t>
  </si>
  <si>
    <t>sy,x / b</t>
  </si>
  <si>
    <t>xi-meanx</t>
  </si>
  <si>
    <t>(xi - mean x)^2</t>
  </si>
  <si>
    <t>Real erro (ug/ml)</t>
  </si>
  <si>
    <t>500 ug/ml</t>
  </si>
  <si>
    <t>20ul injection volume</t>
  </si>
  <si>
    <t>250ug/ml</t>
  </si>
  <si>
    <t>125 ug/ml</t>
  </si>
  <si>
    <t>62.5ug/ml</t>
  </si>
  <si>
    <t>15.6 ug/ml</t>
  </si>
  <si>
    <t>SWE619</t>
  </si>
  <si>
    <t>Real error (ug/ml)</t>
  </si>
  <si>
    <t>Error mg/mL</t>
  </si>
  <si>
    <t>real error mg/ml</t>
  </si>
  <si>
    <t>Error (mg/g SCG)</t>
  </si>
  <si>
    <t>Minitab number</t>
  </si>
  <si>
    <t>1_SWE619</t>
  </si>
  <si>
    <t>Total db</t>
  </si>
  <si>
    <t>2_SWE619</t>
  </si>
  <si>
    <t>3_SWE619</t>
  </si>
  <si>
    <t>4_SWE619</t>
  </si>
  <si>
    <t>6_SWE619</t>
  </si>
  <si>
    <t>7_SWE619</t>
  </si>
  <si>
    <t>8_SWE619</t>
  </si>
  <si>
    <t>9_SWE619</t>
  </si>
  <si>
    <t>10_SWE619</t>
  </si>
  <si>
    <t>11_SWE619</t>
  </si>
  <si>
    <t>12_SWE619</t>
  </si>
  <si>
    <t>13_SWE619</t>
  </si>
  <si>
    <t>14_SWE619</t>
  </si>
  <si>
    <t>15_SWE619</t>
  </si>
  <si>
    <t>16_SWE619</t>
  </si>
  <si>
    <t>17_SWE619</t>
  </si>
  <si>
    <t>18_SWE619</t>
  </si>
  <si>
    <t>19_SWE619</t>
  </si>
  <si>
    <t>20_SWE619</t>
  </si>
  <si>
    <t>5b_SWE619</t>
  </si>
  <si>
    <t>mtab number 10/19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</si>
</sst>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rgb="FF0C7DBB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4" borderId="0" applyNumberFormat="0" applyBorder="0" applyAlignment="0" applyProtection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Font="1"/>
    <xf numFmtId="0" fontId="0" fillId="3" borderId="0" xfId="0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5" borderId="0" xfId="0" applyFill="1"/>
    <xf numFmtId="0" fontId="0" fillId="6" borderId="0" xfId="0" applyFill="1"/>
    <xf numFmtId="0" fontId="1" fillId="4" borderId="0" xfId="1"/>
    <xf numFmtId="0" fontId="0" fillId="0" borderId="0" xfId="0" applyFill="1"/>
    <xf numFmtId="0" fontId="0" fillId="0" borderId="0" xfId="0" applyFont="1" applyFill="1"/>
    <xf numFmtId="0" fontId="2" fillId="0" borderId="0" xfId="2"/>
    <xf numFmtId="0" fontId="3" fillId="0" borderId="0" xfId="0" applyFon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1" fillId="0" borderId="0" xfId="1" applyFill="1"/>
    <xf numFmtId="0" fontId="0" fillId="0" borderId="0" xfId="1" applyFont="1" applyFill="1"/>
  </cellXfs>
  <cellStyles count="3">
    <cellStyle name="Bad" xfId="1" builtinId="27"/>
    <cellStyle name="Hyperlink" xfId="2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'CGA Calibration'!$A$2:$A$6</c:f>
              <c:numCache>
                <c:formatCode>General</c:formatCode>
                <c:ptCount val="5"/>
                <c:pt idx="0">
                  <c:v>500</c:v>
                </c:pt>
                <c:pt idx="1">
                  <c:v>250</c:v>
                </c:pt>
                <c:pt idx="2">
                  <c:v>125</c:v>
                </c:pt>
                <c:pt idx="3">
                  <c:v>62.5</c:v>
                </c:pt>
                <c:pt idx="4">
                  <c:v>15.625</c:v>
                </c:pt>
              </c:numCache>
            </c:numRef>
          </c:xVal>
          <c:yVal>
            <c:numRef>
              <c:f>'CGA Calibration'!$F$2:$F$6</c:f>
              <c:numCache>
                <c:formatCode>General</c:formatCode>
                <c:ptCount val="5"/>
                <c:pt idx="0">
                  <c:v>25134.1</c:v>
                </c:pt>
                <c:pt idx="1">
                  <c:v>12176</c:v>
                </c:pt>
                <c:pt idx="2">
                  <c:v>6084.25</c:v>
                </c:pt>
                <c:pt idx="3">
                  <c:v>2698.3500000000004</c:v>
                </c:pt>
                <c:pt idx="4">
                  <c:v>252.8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D13-4BCE-B7BF-DB5F72433D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159184"/>
        <c:axId val="199159576"/>
      </c:scatterChart>
      <c:valAx>
        <c:axId val="19915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159576"/>
        <c:crosses val="autoZero"/>
        <c:crossBetween val="midCat"/>
      </c:valAx>
      <c:valAx>
        <c:axId val="199159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159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JMSWE619 CGA yield</a:t>
            </a:r>
            <a:r>
              <a:rPr lang="en-GB" baseline="0"/>
              <a:t> (mg/g SCG)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SUMMARY!$S$3:$S$22</c:f>
                <c:numCache>
                  <c:formatCode>General</c:formatCode>
                  <c:ptCount val="20"/>
                  <c:pt idx="0">
                    <c:v>0.62039504358671849</c:v>
                  </c:pt>
                  <c:pt idx="1">
                    <c:v>0.23297797336239018</c:v>
                  </c:pt>
                  <c:pt idx="2">
                    <c:v>0.41661953060389972</c:v>
                  </c:pt>
                  <c:pt idx="3">
                    <c:v>0.41968392210481043</c:v>
                  </c:pt>
                  <c:pt idx="4">
                    <c:v>0.23100818244667351</c:v>
                  </c:pt>
                  <c:pt idx="5">
                    <c:v>0.23816569093145715</c:v>
                  </c:pt>
                  <c:pt idx="6">
                    <c:v>0.58632892639685497</c:v>
                  </c:pt>
                  <c:pt idx="7">
                    <c:v>0.24522435199001635</c:v>
                  </c:pt>
                  <c:pt idx="8">
                    <c:v>0.41810765678706263</c:v>
                  </c:pt>
                  <c:pt idx="9">
                    <c:v>0.60697236550825195</c:v>
                  </c:pt>
                  <c:pt idx="10">
                    <c:v>0.42656930310055363</c:v>
                  </c:pt>
                  <c:pt idx="11">
                    <c:v>0.42280563724373804</c:v>
                  </c:pt>
                  <c:pt idx="12">
                    <c:v>0.41745373379751377</c:v>
                  </c:pt>
                  <c:pt idx="13">
                    <c:v>0.42436798522791425</c:v>
                  </c:pt>
                  <c:pt idx="14">
                    <c:v>0.42444162147615783</c:v>
                  </c:pt>
                  <c:pt idx="15">
                    <c:v>0.12413470505595378</c:v>
                  </c:pt>
                  <c:pt idx="16">
                    <c:v>0.40083155222883732</c:v>
                  </c:pt>
                  <c:pt idx="17">
                    <c:v>0.72075753184613123</c:v>
                  </c:pt>
                  <c:pt idx="18">
                    <c:v>0.43192608909397029</c:v>
                  </c:pt>
                  <c:pt idx="19">
                    <c:v>0.61081440776515938</c:v>
                  </c:pt>
                </c:numCache>
              </c:numRef>
            </c:plus>
            <c:minus>
              <c:numRef>
                <c:f>SUMMARY!$S$3:$S$22</c:f>
                <c:numCache>
                  <c:formatCode>General</c:formatCode>
                  <c:ptCount val="20"/>
                  <c:pt idx="0">
                    <c:v>0.62039504358671849</c:v>
                  </c:pt>
                  <c:pt idx="1">
                    <c:v>0.23297797336239018</c:v>
                  </c:pt>
                  <c:pt idx="2">
                    <c:v>0.41661953060389972</c:v>
                  </c:pt>
                  <c:pt idx="3">
                    <c:v>0.41968392210481043</c:v>
                  </c:pt>
                  <c:pt idx="4">
                    <c:v>0.23100818244667351</c:v>
                  </c:pt>
                  <c:pt idx="5">
                    <c:v>0.23816569093145715</c:v>
                  </c:pt>
                  <c:pt idx="6">
                    <c:v>0.58632892639685497</c:v>
                  </c:pt>
                  <c:pt idx="7">
                    <c:v>0.24522435199001635</c:v>
                  </c:pt>
                  <c:pt idx="8">
                    <c:v>0.41810765678706263</c:v>
                  </c:pt>
                  <c:pt idx="9">
                    <c:v>0.60697236550825195</c:v>
                  </c:pt>
                  <c:pt idx="10">
                    <c:v>0.42656930310055363</c:v>
                  </c:pt>
                  <c:pt idx="11">
                    <c:v>0.42280563724373804</c:v>
                  </c:pt>
                  <c:pt idx="12">
                    <c:v>0.41745373379751377</c:v>
                  </c:pt>
                  <c:pt idx="13">
                    <c:v>0.42436798522791425</c:v>
                  </c:pt>
                  <c:pt idx="14">
                    <c:v>0.42444162147615783</c:v>
                  </c:pt>
                  <c:pt idx="15">
                    <c:v>0.12413470505595378</c:v>
                  </c:pt>
                  <c:pt idx="16">
                    <c:v>0.40083155222883732</c:v>
                  </c:pt>
                  <c:pt idx="17">
                    <c:v>0.72075753184613123</c:v>
                  </c:pt>
                  <c:pt idx="18">
                    <c:v>0.43192608909397029</c:v>
                  </c:pt>
                  <c:pt idx="19">
                    <c:v>0.61081440776515938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SUMMARY!$A$4:$A$23</c:f>
              <c:strCache>
                <c:ptCount val="20"/>
                <c:pt idx="0">
                  <c:v>2_SWE619</c:v>
                </c:pt>
                <c:pt idx="1">
                  <c:v>3_SWE619</c:v>
                </c:pt>
                <c:pt idx="2">
                  <c:v>4_SWE619</c:v>
                </c:pt>
                <c:pt idx="3">
                  <c:v>6_SWE619</c:v>
                </c:pt>
                <c:pt idx="4">
                  <c:v>7_SWE619</c:v>
                </c:pt>
                <c:pt idx="5">
                  <c:v>8_SWE619</c:v>
                </c:pt>
                <c:pt idx="6">
                  <c:v>9_SWE619</c:v>
                </c:pt>
                <c:pt idx="7">
                  <c:v>10_SWE619</c:v>
                </c:pt>
                <c:pt idx="8">
                  <c:v>11_SWE619</c:v>
                </c:pt>
                <c:pt idx="9">
                  <c:v>12_SWE619</c:v>
                </c:pt>
                <c:pt idx="10">
                  <c:v>13_SWE619</c:v>
                </c:pt>
                <c:pt idx="11">
                  <c:v>14_SWE619</c:v>
                </c:pt>
                <c:pt idx="12">
                  <c:v>15_SWE619</c:v>
                </c:pt>
                <c:pt idx="13">
                  <c:v>16_SWE619</c:v>
                </c:pt>
                <c:pt idx="14">
                  <c:v>17_SWE619</c:v>
                </c:pt>
                <c:pt idx="15">
                  <c:v>18_SWE619</c:v>
                </c:pt>
                <c:pt idx="16">
                  <c:v>19_SWE619</c:v>
                </c:pt>
                <c:pt idx="17">
                  <c:v>20_SWE619</c:v>
                </c:pt>
                <c:pt idx="18">
                  <c:v>5b_SWE619</c:v>
                </c:pt>
                <c:pt idx="19">
                  <c:v>0</c:v>
                </c:pt>
              </c:strCache>
            </c:strRef>
          </c:cat>
          <c:val>
            <c:numRef>
              <c:f>SUMMARY!$K$3:$K$22</c:f>
              <c:numCache>
                <c:formatCode>General</c:formatCode>
                <c:ptCount val="20"/>
                <c:pt idx="0">
                  <c:v>2.3505560048625602</c:v>
                </c:pt>
                <c:pt idx="1">
                  <c:v>2.84617107204196</c:v>
                </c:pt>
                <c:pt idx="2">
                  <c:v>2.4725519060000001</c:v>
                </c:pt>
                <c:pt idx="3">
                  <c:v>2.94840507045364</c:v>
                </c:pt>
                <c:pt idx="4">
                  <c:v>2.1031413660612079</c:v>
                </c:pt>
                <c:pt idx="5">
                  <c:v>2.0469318736986799</c:v>
                </c:pt>
                <c:pt idx="6">
                  <c:v>2.2084860860422544</c:v>
                </c:pt>
                <c:pt idx="7">
                  <c:v>1.9709618521300425</c:v>
                </c:pt>
                <c:pt idx="8">
                  <c:v>3.0644239640000865</c:v>
                </c:pt>
                <c:pt idx="9">
                  <c:v>3.3244655136117327</c:v>
                </c:pt>
                <c:pt idx="10">
                  <c:v>3.0733962494964553</c:v>
                </c:pt>
                <c:pt idx="11">
                  <c:v>3.2687567684389638</c:v>
                </c:pt>
                <c:pt idx="12">
                  <c:v>2.7628828135707821</c:v>
                </c:pt>
                <c:pt idx="13">
                  <c:v>2.8599328078819037</c:v>
                </c:pt>
                <c:pt idx="14">
                  <c:v>1.999886481581</c:v>
                </c:pt>
                <c:pt idx="15">
                  <c:v>1.9647967567641211</c:v>
                </c:pt>
                <c:pt idx="16">
                  <c:v>3.2407113973063275</c:v>
                </c:pt>
                <c:pt idx="17">
                  <c:v>3.0071429317016274</c:v>
                </c:pt>
                <c:pt idx="18">
                  <c:v>1.3831197895489242</c:v>
                </c:pt>
                <c:pt idx="19">
                  <c:v>2.848306813550185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A-4468-BDCC-6DAF37B68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4153816"/>
        <c:axId val="354143648"/>
      </c:barChart>
      <c:catAx>
        <c:axId val="3541538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Experiment number(jm_swe619</a:t>
                </a:r>
                <a:r>
                  <a:rPr lang="en-GB" baseline="0"/>
                  <a:t> x)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4143648"/>
        <c:crosses val="autoZero"/>
        <c:auto val="1"/>
        <c:lblAlgn val="ctr"/>
        <c:lblOffset val="100"/>
        <c:noMultiLvlLbl val="0"/>
      </c:catAx>
      <c:valAx>
        <c:axId val="3541436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Total</a:t>
                </a:r>
                <a:r>
                  <a:rPr lang="en-GB" baseline="0"/>
                  <a:t> CGA (mg/ g SCG)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4153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490537</xdr:colOff>
      <xdr:row>8</xdr:row>
      <xdr:rowOff>142875</xdr:rowOff>
    </xdr:from>
    <xdr:to>
      <xdr:col>7</xdr:col>
      <xdr:colOff>319087</xdr:colOff>
      <xdr:row>23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133945</xdr:colOff>
      <xdr:row>24</xdr:row>
      <xdr:rowOff>64590</xdr:rowOff>
    </xdr:from>
    <xdr:to>
      <xdr:col>44</xdr:col>
      <xdr:colOff>89297</xdr:colOff>
      <xdr:row>63</xdr:row>
      <xdr:rowOff>89298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5"/>
  <sheetViews>
    <sheetView workbookViewId="0">
      <selection activeCell="C7" sqref="C7"/>
    </sheetView>
  </sheetViews>
  <sheetFormatPr defaultRowHeight="14.4" x14ac:dyDescent="0.3"/>
  <cols>
    <col min="1" max="1" width="16.33203125" customWidth="1"/>
    <col min="10" max="10" width="24.88671875" bestFit="1" customWidth="1"/>
    <col min="11" max="11" width="12" bestFit="1" customWidth="1"/>
    <col min="12" max="12" width="9.33203125" bestFit="1" customWidth="1"/>
    <col min="13" max="13" width="26.109375" bestFit="1" customWidth="1"/>
    <col min="15" max="15" width="30.44140625" bestFit="1" customWidth="1"/>
    <col min="16" max="16" width="13.6640625" customWidth="1"/>
    <col min="17" max="17" width="24.33203125" customWidth="1"/>
    <col min="18" max="18" width="27.109375" customWidth="1"/>
  </cols>
  <sheetData>
    <row r="1" spans="1:18" x14ac:dyDescent="0.3">
      <c r="A1" t="s">
        <v>4</v>
      </c>
      <c r="B1" t="s">
        <v>0</v>
      </c>
      <c r="F1" t="s">
        <v>1</v>
      </c>
      <c r="G1" t="s">
        <v>2</v>
      </c>
      <c r="H1" t="s">
        <v>3</v>
      </c>
    </row>
    <row r="2" spans="1:18" x14ac:dyDescent="0.3">
      <c r="A2">
        <v>500</v>
      </c>
      <c r="B2">
        <v>25134.1</v>
      </c>
      <c r="C2">
        <v>25134.1</v>
      </c>
      <c r="F2">
        <f>AVERAGE(B2:C2)</f>
        <v>25134.1</v>
      </c>
      <c r="G2">
        <f t="shared" ref="G2:G6" si="0">STDEVA(B2:C2)</f>
        <v>0</v>
      </c>
      <c r="H2">
        <f>A2/F2</f>
        <v>1.9893292379675423E-2</v>
      </c>
    </row>
    <row r="3" spans="1:18" x14ac:dyDescent="0.3">
      <c r="A3">
        <v>250</v>
      </c>
      <c r="B3">
        <v>12151.9</v>
      </c>
      <c r="C3">
        <v>12200.1</v>
      </c>
      <c r="F3">
        <f>AVERAGE(B3:C3)</f>
        <v>12176</v>
      </c>
      <c r="G3">
        <f t="shared" si="0"/>
        <v>34.082546853192106</v>
      </c>
      <c r="H3">
        <f t="shared" ref="H3:H5" si="1">A3/F3</f>
        <v>2.0532194480946123E-2</v>
      </c>
    </row>
    <row r="4" spans="1:18" x14ac:dyDescent="0.3">
      <c r="A4">
        <v>125</v>
      </c>
      <c r="B4">
        <v>6128.3</v>
      </c>
      <c r="C4">
        <v>6040.2</v>
      </c>
      <c r="F4">
        <f>AVERAGE(B4:C4)</f>
        <v>6084.25</v>
      </c>
      <c r="G4">
        <f t="shared" si="0"/>
        <v>62.296107422535094</v>
      </c>
      <c r="H4">
        <f t="shared" si="1"/>
        <v>2.054484940625385E-2</v>
      </c>
      <c r="Q4" t="s">
        <v>57</v>
      </c>
      <c r="R4" t="s">
        <v>58</v>
      </c>
    </row>
    <row r="5" spans="1:18" x14ac:dyDescent="0.3">
      <c r="A5">
        <v>62.5</v>
      </c>
      <c r="B5">
        <v>2707.8</v>
      </c>
      <c r="C5">
        <v>2688.9</v>
      </c>
      <c r="F5">
        <f>AVERAGE(B5:C5)</f>
        <v>2698.3500000000004</v>
      </c>
      <c r="G5">
        <f t="shared" si="0"/>
        <v>13.364318164425812</v>
      </c>
      <c r="H5">
        <f t="shared" si="1"/>
        <v>2.3162302888802413E-2</v>
      </c>
      <c r="O5" t="s">
        <v>48</v>
      </c>
      <c r="P5">
        <f>K26</f>
        <v>0.67028778587684146</v>
      </c>
      <c r="Q5">
        <f>A2-P10</f>
        <v>309.375</v>
      </c>
      <c r="R5">
        <f>Q5^2</f>
        <v>95712.890625</v>
      </c>
    </row>
    <row r="6" spans="1:18" x14ac:dyDescent="0.3">
      <c r="A6">
        <v>15.625</v>
      </c>
      <c r="B6">
        <v>254.9</v>
      </c>
      <c r="C6">
        <v>250.7</v>
      </c>
      <c r="F6">
        <f>AVERAGE(B6,C6)</f>
        <v>252.8</v>
      </c>
      <c r="G6">
        <f t="shared" si="0"/>
        <v>2.9698484809835115</v>
      </c>
      <c r="H6">
        <f>A6/F6</f>
        <v>6.1807753164556958E-2</v>
      </c>
      <c r="O6" t="s">
        <v>49</v>
      </c>
      <c r="P6">
        <f>K25</f>
        <v>49.790561058045547</v>
      </c>
      <c r="Q6">
        <f>A3-P10</f>
        <v>59.375</v>
      </c>
      <c r="R6">
        <f t="shared" ref="R6:R8" si="2">Q6^2</f>
        <v>3525.390625</v>
      </c>
    </row>
    <row r="7" spans="1:18" x14ac:dyDescent="0.3">
      <c r="O7" t="s">
        <v>50</v>
      </c>
      <c r="P7">
        <f>0.5</f>
        <v>0.5</v>
      </c>
      <c r="Q7">
        <f>A4-P10</f>
        <v>-65.625</v>
      </c>
      <c r="R7">
        <f t="shared" si="2"/>
        <v>4306.640625</v>
      </c>
    </row>
    <row r="8" spans="1:18" x14ac:dyDescent="0.3">
      <c r="O8" t="s">
        <v>51</v>
      </c>
      <c r="P8">
        <f>1/5</f>
        <v>0.2</v>
      </c>
      <c r="Q8">
        <f>A5-P10</f>
        <v>-128.125</v>
      </c>
      <c r="R8">
        <f t="shared" si="2"/>
        <v>16416.015625</v>
      </c>
    </row>
    <row r="9" spans="1:18" x14ac:dyDescent="0.3">
      <c r="O9" t="s">
        <v>52</v>
      </c>
      <c r="P9">
        <f>AVERAGE(F2:F6)</f>
        <v>9269.1</v>
      </c>
      <c r="Q9">
        <f>A6-P10</f>
        <v>-175</v>
      </c>
      <c r="R9">
        <f>Q9^2</f>
        <v>30625</v>
      </c>
    </row>
    <row r="10" spans="1:18" x14ac:dyDescent="0.3">
      <c r="O10" t="s">
        <v>53</v>
      </c>
      <c r="P10">
        <f>AVERAGE(A2:A6)</f>
        <v>190.625</v>
      </c>
    </row>
    <row r="11" spans="1:18" x14ac:dyDescent="0.3">
      <c r="O11" t="s">
        <v>54</v>
      </c>
      <c r="P11">
        <f>SUM(R5:R9)</f>
        <v>150585.9375</v>
      </c>
    </row>
    <row r="12" spans="1:18" x14ac:dyDescent="0.3">
      <c r="O12" t="s">
        <v>55</v>
      </c>
      <c r="P12">
        <f>L27</f>
        <v>386.37622436100969</v>
      </c>
    </row>
    <row r="14" spans="1:18" x14ac:dyDescent="0.3">
      <c r="O14" t="s">
        <v>56</v>
      </c>
      <c r="P14">
        <f>P12/P6</f>
        <v>7.7600295347259598</v>
      </c>
    </row>
    <row r="17" spans="1:14" x14ac:dyDescent="0.3">
      <c r="I17">
        <f>LINEST(F2:F6,A2:A6,FALSE,TRUE)</f>
        <v>49.790561058045547</v>
      </c>
    </row>
    <row r="19" spans="1:14" x14ac:dyDescent="0.3">
      <c r="J19" t="s">
        <v>32</v>
      </c>
      <c r="K19" s="2">
        <f>STEYX(F2:F6,A2:A6)</f>
        <v>132.03805135254709</v>
      </c>
    </row>
    <row r="20" spans="1:14" x14ac:dyDescent="0.3">
      <c r="J20" t="s">
        <v>33</v>
      </c>
      <c r="K20" s="2">
        <f>I17</f>
        <v>49.790561058045547</v>
      </c>
    </row>
    <row r="21" spans="1:14" x14ac:dyDescent="0.3">
      <c r="J21" t="s">
        <v>34</v>
      </c>
      <c r="K21" s="2">
        <f>(K19/K20)*3.3</f>
        <v>8.751168097010174</v>
      </c>
    </row>
    <row r="22" spans="1:14" x14ac:dyDescent="0.3">
      <c r="J22" s="10" t="s">
        <v>35</v>
      </c>
      <c r="K22" s="10">
        <f>10*(K19/K20)</f>
        <v>26.518691203061135</v>
      </c>
      <c r="L22" t="s">
        <v>36</v>
      </c>
      <c r="N22" t="s">
        <v>37</v>
      </c>
    </row>
    <row r="25" spans="1:14" x14ac:dyDescent="0.3">
      <c r="A25" t="s">
        <v>5</v>
      </c>
      <c r="J25" s="8" t="s">
        <v>38</v>
      </c>
      <c r="K25">
        <f t="array" ref="K25:L29">LINEST(F2:F6,A2:A6,FALSE,TRUE)</f>
        <v>49.790561058045547</v>
      </c>
      <c r="L25">
        <v>0</v>
      </c>
      <c r="M25" s="8" t="s">
        <v>43</v>
      </c>
    </row>
    <row r="26" spans="1:14" x14ac:dyDescent="0.3">
      <c r="A26">
        <v>1000</v>
      </c>
      <c r="J26" s="8" t="s">
        <v>39</v>
      </c>
      <c r="K26">
        <v>0.67028778587684146</v>
      </c>
      <c r="L26" t="e">
        <v>#N/A</v>
      </c>
      <c r="M26" s="8" t="s">
        <v>44</v>
      </c>
    </row>
    <row r="27" spans="1:14" x14ac:dyDescent="0.3">
      <c r="A27">
        <v>750</v>
      </c>
      <c r="J27" s="8" t="s">
        <v>40</v>
      </c>
      <c r="K27">
        <v>0.99927560766066426</v>
      </c>
      <c r="L27">
        <v>386.37622436100969</v>
      </c>
      <c r="M27" s="8" t="s">
        <v>45</v>
      </c>
    </row>
    <row r="28" spans="1:14" x14ac:dyDescent="0.3">
      <c r="A28">
        <v>500</v>
      </c>
      <c r="J28" s="8" t="s">
        <v>41</v>
      </c>
      <c r="K28">
        <v>5517.8695488520616</v>
      </c>
      <c r="L28">
        <v>4</v>
      </c>
      <c r="M28" s="8" t="s">
        <v>46</v>
      </c>
    </row>
    <row r="29" spans="1:14" x14ac:dyDescent="0.3">
      <c r="A29">
        <v>250</v>
      </c>
      <c r="J29" s="8" t="s">
        <v>42</v>
      </c>
      <c r="K29">
        <v>823743911.0879941</v>
      </c>
      <c r="L29">
        <v>597146.34700587718</v>
      </c>
      <c r="M29" s="8" t="s">
        <v>47</v>
      </c>
    </row>
    <row r="30" spans="1:14" x14ac:dyDescent="0.3">
      <c r="A30">
        <v>125</v>
      </c>
    </row>
    <row r="31" spans="1:14" x14ac:dyDescent="0.3">
      <c r="A31">
        <v>62.5</v>
      </c>
    </row>
    <row r="32" spans="1:14" x14ac:dyDescent="0.3">
      <c r="A32">
        <f>A31/2</f>
        <v>31.25</v>
      </c>
    </row>
    <row r="33" spans="1:7" x14ac:dyDescent="0.3">
      <c r="A33">
        <f>A32/2</f>
        <v>15.625</v>
      </c>
    </row>
    <row r="34" spans="1:7" x14ac:dyDescent="0.3">
      <c r="A34">
        <f>A33/2</f>
        <v>7.8125</v>
      </c>
    </row>
    <row r="45" spans="1:7" x14ac:dyDescent="0.3">
      <c r="A45" t="s">
        <v>61</v>
      </c>
    </row>
    <row r="46" spans="1:7" x14ac:dyDescent="0.3">
      <c r="A46" t="s">
        <v>60</v>
      </c>
    </row>
    <row r="47" spans="1:7" x14ac:dyDescent="0.3">
      <c r="A47" t="s">
        <v>7</v>
      </c>
      <c r="B47" t="s">
        <v>8</v>
      </c>
      <c r="C47" t="s">
        <v>0</v>
      </c>
      <c r="D47" t="s">
        <v>9</v>
      </c>
      <c r="E47" t="s">
        <v>10</v>
      </c>
      <c r="F47" t="s">
        <v>11</v>
      </c>
      <c r="G47" t="s">
        <v>12</v>
      </c>
    </row>
    <row r="48" spans="1:7" x14ac:dyDescent="0.3">
      <c r="A48">
        <v>3</v>
      </c>
      <c r="B48">
        <v>23.504000000000001</v>
      </c>
      <c r="C48">
        <v>52.3</v>
      </c>
      <c r="D48">
        <v>4.2</v>
      </c>
      <c r="E48">
        <v>0.18990000000000001</v>
      </c>
      <c r="F48">
        <v>70.447000000000003</v>
      </c>
      <c r="G48">
        <v>0.998</v>
      </c>
    </row>
    <row r="50" spans="1:7" x14ac:dyDescent="0.3">
      <c r="A50" t="s">
        <v>7</v>
      </c>
      <c r="B50" t="s">
        <v>8</v>
      </c>
      <c r="C50" t="s">
        <v>0</v>
      </c>
      <c r="D50" t="s">
        <v>9</v>
      </c>
      <c r="E50" t="s">
        <v>10</v>
      </c>
      <c r="F50" t="s">
        <v>11</v>
      </c>
      <c r="G50" t="s">
        <v>12</v>
      </c>
    </row>
    <row r="51" spans="1:7" x14ac:dyDescent="0.3">
      <c r="A51">
        <v>2</v>
      </c>
      <c r="B51">
        <v>23.73</v>
      </c>
      <c r="C51">
        <v>25134.1</v>
      </c>
      <c r="D51">
        <v>1209.7</v>
      </c>
      <c r="E51">
        <v>0.32240000000000002</v>
      </c>
      <c r="F51">
        <v>98.036000000000001</v>
      </c>
      <c r="G51">
        <v>0.73399999999999999</v>
      </c>
    </row>
    <row r="53" spans="1:7" x14ac:dyDescent="0.3">
      <c r="A53" t="s">
        <v>62</v>
      </c>
    </row>
    <row r="54" spans="1:7" x14ac:dyDescent="0.3">
      <c r="A54" t="s">
        <v>7</v>
      </c>
      <c r="B54" t="s">
        <v>8</v>
      </c>
      <c r="C54" t="s">
        <v>0</v>
      </c>
      <c r="D54" t="s">
        <v>9</v>
      </c>
      <c r="E54" t="s">
        <v>10</v>
      </c>
      <c r="F54" t="s">
        <v>11</v>
      </c>
      <c r="G54" t="s">
        <v>12</v>
      </c>
    </row>
    <row r="55" spans="1:7" x14ac:dyDescent="0.3">
      <c r="A55">
        <v>2</v>
      </c>
      <c r="B55">
        <v>23.826000000000001</v>
      </c>
      <c r="C55">
        <v>12151.9</v>
      </c>
      <c r="D55">
        <v>595</v>
      </c>
      <c r="E55">
        <v>0.31630000000000003</v>
      </c>
      <c r="F55">
        <v>97.504999999999995</v>
      </c>
      <c r="G55">
        <v>0.85299999999999998</v>
      </c>
    </row>
    <row r="56" spans="1:7" x14ac:dyDescent="0.3">
      <c r="A56" t="s">
        <v>7</v>
      </c>
      <c r="B56" t="s">
        <v>8</v>
      </c>
      <c r="C56" t="s">
        <v>0</v>
      </c>
      <c r="D56" t="s">
        <v>9</v>
      </c>
      <c r="E56" t="s">
        <v>10</v>
      </c>
      <c r="F56" t="s">
        <v>11</v>
      </c>
      <c r="G56" t="s">
        <v>12</v>
      </c>
    </row>
    <row r="57" spans="1:7" x14ac:dyDescent="0.3">
      <c r="A57">
        <v>2</v>
      </c>
      <c r="B57">
        <v>23.824000000000002</v>
      </c>
      <c r="C57">
        <v>12200.1</v>
      </c>
      <c r="D57">
        <v>591.29999999999995</v>
      </c>
      <c r="E57">
        <v>0.31869999999999998</v>
      </c>
      <c r="F57">
        <v>97.471000000000004</v>
      </c>
      <c r="G57">
        <v>0.84899999999999998</v>
      </c>
    </row>
    <row r="59" spans="1:7" x14ac:dyDescent="0.3">
      <c r="A59" t="s">
        <v>63</v>
      </c>
    </row>
    <row r="60" spans="1:7" x14ac:dyDescent="0.3">
      <c r="A60" t="s">
        <v>7</v>
      </c>
      <c r="B60" t="s">
        <v>8</v>
      </c>
      <c r="C60" t="s">
        <v>0</v>
      </c>
      <c r="D60" t="s">
        <v>9</v>
      </c>
      <c r="E60" t="s">
        <v>10</v>
      </c>
      <c r="F60" t="s">
        <v>11</v>
      </c>
      <c r="G60" t="s">
        <v>12</v>
      </c>
    </row>
    <row r="61" spans="1:7" x14ac:dyDescent="0.3">
      <c r="A61">
        <v>2</v>
      </c>
      <c r="B61">
        <v>24.012</v>
      </c>
      <c r="C61">
        <v>6128.3</v>
      </c>
      <c r="D61">
        <v>293.2</v>
      </c>
      <c r="E61">
        <v>0.32379999999999998</v>
      </c>
      <c r="F61">
        <v>97.313999999999993</v>
      </c>
      <c r="G61">
        <v>0.91700000000000004</v>
      </c>
    </row>
    <row r="62" spans="1:7" x14ac:dyDescent="0.3">
      <c r="A62" t="s">
        <v>7</v>
      </c>
      <c r="B62" t="s">
        <v>8</v>
      </c>
      <c r="C62" t="s">
        <v>0</v>
      </c>
      <c r="D62" t="s">
        <v>9</v>
      </c>
      <c r="E62" t="s">
        <v>10</v>
      </c>
      <c r="F62" t="s">
        <v>11</v>
      </c>
      <c r="G62" t="s">
        <v>12</v>
      </c>
    </row>
    <row r="63" spans="1:7" x14ac:dyDescent="0.3">
      <c r="A63">
        <v>3</v>
      </c>
      <c r="B63">
        <v>23.927</v>
      </c>
      <c r="C63">
        <v>6040.2</v>
      </c>
      <c r="D63">
        <v>293.10000000000002</v>
      </c>
      <c r="E63">
        <v>0.32040000000000002</v>
      </c>
      <c r="F63">
        <v>97.114999999999995</v>
      </c>
      <c r="G63">
        <v>0.91900000000000004</v>
      </c>
    </row>
    <row r="65" spans="1:7" x14ac:dyDescent="0.3">
      <c r="A65" t="s">
        <v>64</v>
      </c>
    </row>
    <row r="66" spans="1:7" x14ac:dyDescent="0.3">
      <c r="A66" t="s">
        <v>7</v>
      </c>
      <c r="B66" t="s">
        <v>8</v>
      </c>
      <c r="C66" t="s">
        <v>0</v>
      </c>
      <c r="D66" t="s">
        <v>9</v>
      </c>
      <c r="E66" t="s">
        <v>10</v>
      </c>
      <c r="F66" t="s">
        <v>11</v>
      </c>
      <c r="G66" t="s">
        <v>12</v>
      </c>
    </row>
    <row r="67" spans="1:7" x14ac:dyDescent="0.3">
      <c r="A67">
        <v>3</v>
      </c>
      <c r="B67">
        <v>24.047999999999998</v>
      </c>
      <c r="C67">
        <v>2707.8</v>
      </c>
      <c r="D67">
        <v>130.80000000000001</v>
      </c>
      <c r="E67">
        <v>0.32150000000000001</v>
      </c>
      <c r="F67">
        <v>87.724000000000004</v>
      </c>
      <c r="G67">
        <v>0.95699999999999996</v>
      </c>
    </row>
    <row r="68" spans="1:7" x14ac:dyDescent="0.3">
      <c r="A68" t="s">
        <v>7</v>
      </c>
      <c r="B68" t="s">
        <v>8</v>
      </c>
      <c r="C68" t="s">
        <v>0</v>
      </c>
      <c r="D68" t="s">
        <v>9</v>
      </c>
      <c r="E68" t="s">
        <v>10</v>
      </c>
      <c r="F68" t="s">
        <v>11</v>
      </c>
      <c r="G68" t="s">
        <v>12</v>
      </c>
    </row>
    <row r="69" spans="1:7" x14ac:dyDescent="0.3">
      <c r="A69">
        <v>3</v>
      </c>
      <c r="B69">
        <v>24.091000000000001</v>
      </c>
      <c r="C69">
        <v>2688.9</v>
      </c>
      <c r="D69">
        <v>129.5</v>
      </c>
      <c r="E69">
        <v>0.32019999999999998</v>
      </c>
      <c r="F69">
        <v>87.498000000000005</v>
      </c>
      <c r="G69">
        <v>0.95399999999999996</v>
      </c>
    </row>
    <row r="71" spans="1:7" x14ac:dyDescent="0.3">
      <c r="A71" t="s">
        <v>65</v>
      </c>
    </row>
    <row r="72" spans="1:7" x14ac:dyDescent="0.3">
      <c r="A72" t="s">
        <v>7</v>
      </c>
      <c r="B72" t="s">
        <v>8</v>
      </c>
      <c r="C72" t="s">
        <v>0</v>
      </c>
      <c r="D72" t="s">
        <v>9</v>
      </c>
      <c r="E72" t="s">
        <v>10</v>
      </c>
      <c r="F72" t="s">
        <v>11</v>
      </c>
      <c r="G72" t="s">
        <v>12</v>
      </c>
    </row>
    <row r="73" spans="1:7" x14ac:dyDescent="0.3">
      <c r="A73">
        <v>3</v>
      </c>
      <c r="B73">
        <v>24.16</v>
      </c>
      <c r="C73">
        <v>254.9</v>
      </c>
      <c r="D73">
        <v>12.4</v>
      </c>
      <c r="E73">
        <v>0.32019999999999998</v>
      </c>
      <c r="F73">
        <v>55.877000000000002</v>
      </c>
      <c r="G73">
        <v>0.99</v>
      </c>
    </row>
    <row r="74" spans="1:7" x14ac:dyDescent="0.3">
      <c r="A74" t="s">
        <v>7</v>
      </c>
      <c r="B74" t="s">
        <v>8</v>
      </c>
      <c r="C74" t="s">
        <v>0</v>
      </c>
      <c r="D74" t="s">
        <v>9</v>
      </c>
      <c r="E74" t="s">
        <v>10</v>
      </c>
      <c r="F74" t="s">
        <v>11</v>
      </c>
      <c r="G74" t="s">
        <v>12</v>
      </c>
    </row>
    <row r="75" spans="1:7" x14ac:dyDescent="0.3">
      <c r="A75">
        <v>3</v>
      </c>
      <c r="B75">
        <v>24.167000000000002</v>
      </c>
      <c r="C75">
        <v>250.7</v>
      </c>
      <c r="D75">
        <v>12.1</v>
      </c>
      <c r="E75">
        <v>0.32090000000000002</v>
      </c>
      <c r="F75">
        <v>55.451999999999998</v>
      </c>
      <c r="G75">
        <v>0.98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35"/>
  <sheetViews>
    <sheetView workbookViewId="0">
      <selection activeCell="I14" sqref="I14:K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10</v>
      </c>
      <c r="B3">
        <v>12.471</v>
      </c>
      <c r="C3">
        <v>2028.2</v>
      </c>
      <c r="D3">
        <v>33.9</v>
      </c>
      <c r="E3">
        <v>0.91520000000000001</v>
      </c>
      <c r="F3">
        <v>16.706</v>
      </c>
      <c r="G3">
        <v>0.90300000000000002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14</v>
      </c>
      <c r="B4">
        <v>23.829000000000001</v>
      </c>
      <c r="C4">
        <v>2787</v>
      </c>
      <c r="D4">
        <v>105.1</v>
      </c>
      <c r="E4">
        <v>0.38940000000000002</v>
      </c>
      <c r="F4">
        <v>22.954999999999998</v>
      </c>
      <c r="G4">
        <v>0.72899999999999998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15</v>
      </c>
      <c r="B5">
        <v>26.274999999999999</v>
      </c>
      <c r="C5">
        <f>398.6+2043.7</f>
        <v>2442.3000000000002</v>
      </c>
      <c r="D5">
        <v>119.7</v>
      </c>
      <c r="E5">
        <v>0.26729999999999998</v>
      </c>
      <c r="F5">
        <v>16.832999999999998</v>
      </c>
      <c r="G5">
        <v>0.95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9</v>
      </c>
      <c r="B8">
        <v>12.519</v>
      </c>
      <c r="C8">
        <v>2060.8000000000002</v>
      </c>
      <c r="D8">
        <v>34.299999999999997</v>
      </c>
      <c r="E8">
        <v>0.91520000000000001</v>
      </c>
      <c r="F8">
        <v>16.957999999999998</v>
      </c>
      <c r="G8">
        <v>0.91100000000000003</v>
      </c>
      <c r="M8" t="s">
        <v>54</v>
      </c>
      <c r="N8">
        <f>'CGA Calibration'!P11</f>
        <v>150585.9375</v>
      </c>
    </row>
    <row r="9" spans="1:14" x14ac:dyDescent="0.3">
      <c r="A9">
        <v>13</v>
      </c>
      <c r="B9">
        <v>23.91</v>
      </c>
      <c r="C9">
        <v>2812.8</v>
      </c>
      <c r="D9">
        <v>106.3</v>
      </c>
      <c r="E9">
        <v>0.3866</v>
      </c>
      <c r="F9">
        <v>23.146000000000001</v>
      </c>
      <c r="G9">
        <v>0.72699999999999998</v>
      </c>
      <c r="M9" t="s">
        <v>55</v>
      </c>
      <c r="N9">
        <f>'CGA Calibration'!P12</f>
        <v>386.37622436100969</v>
      </c>
    </row>
    <row r="10" spans="1:14" x14ac:dyDescent="0.3">
      <c r="A10">
        <v>14</v>
      </c>
      <c r="B10">
        <v>26.364999999999998</v>
      </c>
      <c r="C10">
        <f>404+2062.5</f>
        <v>2466.5</v>
      </c>
      <c r="D10">
        <v>119.8</v>
      </c>
      <c r="E10">
        <v>0.26879999999999998</v>
      </c>
      <c r="F10">
        <v>16.972000000000001</v>
      </c>
      <c r="G10">
        <v>0.95399999999999996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2799.9</v>
      </c>
      <c r="B14">
        <f>AVERAGE(C10,C5)</f>
        <v>2454.4</v>
      </c>
      <c r="C14">
        <f>AVERAGE(C3,C8)</f>
        <v>2044.5</v>
      </c>
      <c r="D14">
        <f>A14/'CGA Calibration'!I17</f>
        <v>56.233549903884253</v>
      </c>
      <c r="E14">
        <f>B14/'CGA Calibration'!I17</f>
        <v>49.294483690165187</v>
      </c>
      <c r="F14">
        <f>C14/'CGA Calibration'!I17</f>
        <v>41.061999635162451</v>
      </c>
      <c r="I14" s="2">
        <f>(D14*G13*H13)/1000</f>
        <v>5.904522739907847E-2</v>
      </c>
      <c r="J14" s="2">
        <f>(E14*H13*G13)/1000</f>
        <v>5.1759207874673453E-2</v>
      </c>
      <c r="K14" s="2">
        <f>(F14*H13*G13)/1000</f>
        <v>4.3115099616920574E-2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-6469.2000000000007</v>
      </c>
      <c r="I17">
        <f>H17^2</f>
        <v>41850548.640000008</v>
      </c>
      <c r="J17">
        <f>N11*SQRT(N4+N5+(I17/(N3^2*N8)))</f>
        <v>6.9930930774387026</v>
      </c>
      <c r="K17" s="2">
        <f>J17*G13*H13</f>
        <v>7.342747731310638</v>
      </c>
      <c r="L17">
        <f>K17/1000</f>
        <v>7.3427477313106381E-3</v>
      </c>
    </row>
    <row r="18" spans="1:14" x14ac:dyDescent="0.3">
      <c r="G18" s="2" t="s">
        <v>19</v>
      </c>
      <c r="H18">
        <f>B14-N6</f>
        <v>-6814.7000000000007</v>
      </c>
      <c r="I18">
        <f t="shared" ref="I18:I19" si="0">H18^2</f>
        <v>46440136.090000011</v>
      </c>
      <c r="J18">
        <f>N11*SQRT(N4+N5+(I18/(N3^2*N8)))</f>
        <v>7.0458267776216008</v>
      </c>
      <c r="K18" s="2">
        <f>J18*G13*H13</f>
        <v>7.3981181165026815</v>
      </c>
      <c r="L18">
        <f t="shared" ref="L18:L19" si="1">K18/1000</f>
        <v>7.3981181165026812E-3</v>
      </c>
    </row>
    <row r="19" spans="1:14" x14ac:dyDescent="0.3">
      <c r="G19" s="2" t="s">
        <v>20</v>
      </c>
      <c r="H19">
        <f>C14-N6</f>
        <v>-7224.6</v>
      </c>
      <c r="I19">
        <f t="shared" si="0"/>
        <v>52194845.160000004</v>
      </c>
      <c r="J19">
        <f>N11*SQRT(N4+N5+(I19/(N3^2*N8)))</f>
        <v>7.1113950328650537</v>
      </c>
      <c r="K19" s="2">
        <f>J19*G13*H13</f>
        <v>7.4669647845083071</v>
      </c>
      <c r="L19">
        <f t="shared" si="1"/>
        <v>7.4669647845083068E-3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35"/>
  <sheetViews>
    <sheetView topLeftCell="G1" workbookViewId="0">
      <selection activeCell="I14" sqref="I14:K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2" max="12" width="12.10937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12</v>
      </c>
      <c r="B3">
        <v>12.429</v>
      </c>
      <c r="C3">
        <v>1604</v>
      </c>
      <c r="D3">
        <v>26.8</v>
      </c>
      <c r="E3">
        <v>0.91749999999999998</v>
      </c>
      <c r="F3">
        <v>14.746</v>
      </c>
      <c r="G3">
        <v>0.89400000000000002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16</v>
      </c>
      <c r="B4">
        <v>23.745999999999999</v>
      </c>
      <c r="C4">
        <v>2359.9</v>
      </c>
      <c r="D4">
        <v>90.4</v>
      </c>
      <c r="E4">
        <v>0.3846</v>
      </c>
      <c r="F4">
        <v>21.696000000000002</v>
      </c>
      <c r="G4">
        <v>0.748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17</v>
      </c>
      <c r="B5">
        <v>26.215</v>
      </c>
      <c r="C5">
        <f>176+1783.7</f>
        <v>1959.7</v>
      </c>
      <c r="D5">
        <v>102.8</v>
      </c>
      <c r="E5">
        <v>0.26850000000000002</v>
      </c>
      <c r="F5">
        <v>16.399000000000001</v>
      </c>
      <c r="G5">
        <v>0.94699999999999995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12</v>
      </c>
      <c r="B8">
        <v>12.355</v>
      </c>
      <c r="C8">
        <v>1584.1</v>
      </c>
      <c r="D8">
        <v>26.6</v>
      </c>
      <c r="E8">
        <v>0.88629999999999998</v>
      </c>
      <c r="F8">
        <v>14.859</v>
      </c>
      <c r="G8">
        <v>0.88500000000000001</v>
      </c>
      <c r="M8" t="s">
        <v>54</v>
      </c>
      <c r="N8">
        <f>'CGA Calibration'!P11</f>
        <v>150585.9375</v>
      </c>
    </row>
    <row r="9" spans="1:14" x14ac:dyDescent="0.3">
      <c r="A9">
        <v>16</v>
      </c>
      <c r="B9">
        <v>23.704000000000001</v>
      </c>
      <c r="C9">
        <v>2356.6</v>
      </c>
      <c r="D9">
        <v>89.9</v>
      </c>
      <c r="E9">
        <v>0.38590000000000002</v>
      </c>
      <c r="F9">
        <v>22.106000000000002</v>
      </c>
      <c r="G9">
        <v>0.748</v>
      </c>
      <c r="M9" t="s">
        <v>55</v>
      </c>
      <c r="N9">
        <f>'CGA Calibration'!P12</f>
        <v>386.37622436100969</v>
      </c>
    </row>
    <row r="10" spans="1:14" x14ac:dyDescent="0.3">
      <c r="A10">
        <v>17</v>
      </c>
      <c r="B10">
        <v>26.170999999999999</v>
      </c>
      <c r="C10">
        <f>146.9+1746.5</f>
        <v>1893.4</v>
      </c>
      <c r="D10">
        <v>102.5</v>
      </c>
      <c r="E10">
        <v>0.26469999999999999</v>
      </c>
      <c r="F10">
        <v>16.382999999999999</v>
      </c>
      <c r="G10">
        <v>0.95499999999999996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2358.25</v>
      </c>
      <c r="B14">
        <f>AVERAGE(C10,C5)</f>
        <v>1926.5500000000002</v>
      </c>
      <c r="C14">
        <f>AVERAGE(C3,C8)</f>
        <v>1594.05</v>
      </c>
      <c r="D14">
        <f>A14/'CGA Calibration'!I17</f>
        <v>47.363394785826287</v>
      </c>
      <c r="E14">
        <f>B14/'CGA Calibration'!I17</f>
        <v>38.693076741072254</v>
      </c>
      <c r="F14">
        <f>C14/'CGA Calibration'!I17</f>
        <v>32.015104190966348</v>
      </c>
      <c r="I14" s="2">
        <f>(D14*G13*H13)/1000</f>
        <v>4.9731564525117608E-2</v>
      </c>
      <c r="J14" s="2">
        <f>(E14*H13*G13)/1000</f>
        <v>4.0627730578125867E-2</v>
      </c>
      <c r="K14" s="2">
        <f>(F14*H13*G13)/1000</f>
        <v>3.3615859400514668E-2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-6910.85</v>
      </c>
      <c r="I17">
        <f>H17^2</f>
        <v>47759847.722500004</v>
      </c>
      <c r="J17">
        <f>N11*SQRT(N4+N5+(I17/(N3^2*N8)))</f>
        <v>7.0609171706939557</v>
      </c>
      <c r="K17" s="2">
        <f>J17*G13*H13</f>
        <v>7.413963029228654</v>
      </c>
      <c r="L17">
        <f>K17/1000</f>
        <v>7.4139630292286542E-3</v>
      </c>
    </row>
    <row r="18" spans="1:14" x14ac:dyDescent="0.3">
      <c r="G18" s="2" t="s">
        <v>19</v>
      </c>
      <c r="H18">
        <f>B14-N6</f>
        <v>-7342.55</v>
      </c>
      <c r="I18">
        <f t="shared" ref="I18:I19" si="0">H18^2</f>
        <v>53913040.502500005</v>
      </c>
      <c r="J18">
        <f>N11*SQRT(N4+N5+(I18/(N3^2*N8)))</f>
        <v>7.1308550053813571</v>
      </c>
      <c r="K18" s="2">
        <f>J18*G13*H13</f>
        <v>7.4873977556504254</v>
      </c>
      <c r="L18">
        <f t="shared" ref="L18:L19" si="1">K18/1000</f>
        <v>7.4873977556504257E-3</v>
      </c>
    </row>
    <row r="19" spans="1:14" x14ac:dyDescent="0.3">
      <c r="G19" s="2" t="s">
        <v>20</v>
      </c>
      <c r="H19">
        <f>C14-N6</f>
        <v>-7675.05</v>
      </c>
      <c r="I19">
        <f t="shared" si="0"/>
        <v>58906392.502500005</v>
      </c>
      <c r="J19">
        <f>N11*SQRT(N4+N5+(I19/(N3^2*N8)))</f>
        <v>7.1871097534590298</v>
      </c>
      <c r="K19" s="2">
        <f>J19*G13*H13</f>
        <v>7.5464652411319815</v>
      </c>
      <c r="L19">
        <f t="shared" si="1"/>
        <v>7.5464652411319812E-3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35"/>
  <sheetViews>
    <sheetView workbookViewId="0">
      <selection activeCell="F14" sqref="F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12</v>
      </c>
      <c r="B3">
        <v>12.278</v>
      </c>
      <c r="C3">
        <v>1194.7</v>
      </c>
      <c r="D3">
        <v>20.5</v>
      </c>
      <c r="E3">
        <v>0.87129999999999996</v>
      </c>
      <c r="F3">
        <v>11.052</v>
      </c>
      <c r="G3">
        <v>0.86499999999999999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17</v>
      </c>
      <c r="B4">
        <v>23.641999999999999</v>
      </c>
      <c r="C4">
        <v>2004.3</v>
      </c>
      <c r="D4">
        <v>77.900000000000006</v>
      </c>
      <c r="E4">
        <v>0.38</v>
      </c>
      <c r="F4">
        <v>18.542000000000002</v>
      </c>
      <c r="G4">
        <v>0.76800000000000002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18</v>
      </c>
      <c r="B5">
        <v>26.113</v>
      </c>
      <c r="C5">
        <f>176.9+1487</f>
        <v>1663.9</v>
      </c>
      <c r="D5">
        <v>85.3</v>
      </c>
      <c r="E5">
        <v>0.26950000000000002</v>
      </c>
      <c r="F5">
        <v>13.757</v>
      </c>
      <c r="G5">
        <v>0.93700000000000006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11</v>
      </c>
      <c r="B8">
        <v>12.231</v>
      </c>
      <c r="C8">
        <v>1341.7</v>
      </c>
      <c r="D8">
        <v>21.8</v>
      </c>
      <c r="E8">
        <v>0.92269999999999996</v>
      </c>
      <c r="F8">
        <v>11.590999999999999</v>
      </c>
      <c r="G8">
        <v>0.93</v>
      </c>
      <c r="M8" t="s">
        <v>54</v>
      </c>
      <c r="N8">
        <f>'CGA Calibration'!P11</f>
        <v>150585.9375</v>
      </c>
    </row>
    <row r="9" spans="1:14" x14ac:dyDescent="0.3">
      <c r="A9">
        <v>16</v>
      </c>
      <c r="B9">
        <v>23.667999999999999</v>
      </c>
      <c r="C9">
        <v>2028.7</v>
      </c>
      <c r="D9">
        <v>77.599999999999994</v>
      </c>
      <c r="E9">
        <v>0.38700000000000001</v>
      </c>
      <c r="F9">
        <v>17.527000000000001</v>
      </c>
      <c r="G9">
        <v>0.76400000000000001</v>
      </c>
      <c r="M9" t="s">
        <v>55</v>
      </c>
      <c r="N9">
        <f>'CGA Calibration'!P12</f>
        <v>386.37622436100969</v>
      </c>
    </row>
    <row r="10" spans="1:14" x14ac:dyDescent="0.3">
      <c r="A10">
        <v>17</v>
      </c>
      <c r="B10">
        <v>26.172000000000001</v>
      </c>
      <c r="C10">
        <f>182.3+1502</f>
        <v>1684.3</v>
      </c>
      <c r="D10">
        <v>85.6</v>
      </c>
      <c r="E10">
        <v>0.2707</v>
      </c>
      <c r="F10">
        <v>12.976000000000001</v>
      </c>
      <c r="G10">
        <v>0.93799999999999994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2016.5</v>
      </c>
      <c r="B14">
        <f>AVERAGE(C10,C5)</f>
        <v>1674.1</v>
      </c>
      <c r="C14">
        <f>AVERAGE(C3,C8)</f>
        <v>1268.2</v>
      </c>
      <c r="D14">
        <f>A14/'CGA Calibration'!I17</f>
        <v>40.499644051995638</v>
      </c>
      <c r="E14">
        <f>B14/'CGA Calibration'!I17</f>
        <v>33.622838634984326</v>
      </c>
      <c r="F14" s="18">
        <f>C14/'CGA Calibration'!I17</f>
        <v>25.47069109186257</v>
      </c>
      <c r="I14" s="2">
        <f>(D14*G13*H13)/1000</f>
        <v>4.2524626254595424E-2</v>
      </c>
      <c r="J14" s="2">
        <f>(E14*H13*G13)/1000</f>
        <v>3.5303980566733541E-2</v>
      </c>
      <c r="K14" s="2">
        <f>(F14*H13*G13)/1000</f>
        <v>2.6744225646455701E-2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-7252.6</v>
      </c>
      <c r="I17">
        <f>H17^2</f>
        <v>52600206.760000005</v>
      </c>
      <c r="J17">
        <f>N11*SQRT(N4+N5+(I17/(N3^2*N8)))</f>
        <v>7.115990882220613</v>
      </c>
      <c r="K17" s="2">
        <f>J17*G13*H13</f>
        <v>7.4717904263316441</v>
      </c>
      <c r="L17">
        <f>K17/1000</f>
        <v>7.4717904263316443E-3</v>
      </c>
    </row>
    <row r="18" spans="1:14" x14ac:dyDescent="0.3">
      <c r="G18" s="2" t="s">
        <v>19</v>
      </c>
      <c r="H18">
        <f>B14-N6</f>
        <v>-7595</v>
      </c>
      <c r="I18">
        <f t="shared" ref="I18:I19" si="0">H18^2</f>
        <v>57684025</v>
      </c>
      <c r="J18">
        <f>N11*SQRT(N4+N5+(I18/(N3^2*N8)))</f>
        <v>7.1733794273476521</v>
      </c>
      <c r="K18" s="2">
        <f>J18*G13*H13</f>
        <v>7.5320483987150348</v>
      </c>
      <c r="L18">
        <f t="shared" ref="L18:L19" si="1">K18/1000</f>
        <v>7.5320483987150345E-3</v>
      </c>
    </row>
    <row r="19" spans="1:14" x14ac:dyDescent="0.3">
      <c r="G19" s="2" t="s">
        <v>20</v>
      </c>
      <c r="H19">
        <f>C14-N6</f>
        <v>-8000.9000000000005</v>
      </c>
      <c r="I19">
        <f t="shared" si="0"/>
        <v>64014400.81000001</v>
      </c>
      <c r="J19">
        <f>N11*SQRT(N4+N5+(I19/(N3^2*N8)))</f>
        <v>7.2442042188289495</v>
      </c>
      <c r="K19" s="2">
        <f>J19*G13*H13</f>
        <v>7.6064144297703971</v>
      </c>
      <c r="L19">
        <f t="shared" si="1"/>
        <v>7.6064144297703969E-3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35"/>
  <sheetViews>
    <sheetView workbookViewId="0">
      <selection activeCell="I14" sqref="I14:K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12</v>
      </c>
      <c r="B3">
        <v>12.212</v>
      </c>
      <c r="C3">
        <v>1857.2</v>
      </c>
      <c r="D3">
        <v>29.4</v>
      </c>
      <c r="E3">
        <v>0.94359999999999999</v>
      </c>
      <c r="F3">
        <v>15.521000000000001</v>
      </c>
      <c r="G3">
        <v>1.083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16</v>
      </c>
      <c r="B4">
        <v>23.684999999999999</v>
      </c>
      <c r="C4">
        <v>2528.8000000000002</v>
      </c>
      <c r="D4">
        <v>95.2</v>
      </c>
      <c r="E4">
        <v>0.3921</v>
      </c>
      <c r="F4">
        <v>21.134</v>
      </c>
      <c r="G4">
        <v>0.745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17</v>
      </c>
      <c r="B5">
        <v>26.161999999999999</v>
      </c>
      <c r="C5">
        <f>224.5+1892.5</f>
        <v>2117</v>
      </c>
      <c r="D5">
        <v>109.6</v>
      </c>
      <c r="E5">
        <v>0.26740000000000003</v>
      </c>
      <c r="F5">
        <v>15.816000000000001</v>
      </c>
      <c r="G5">
        <v>0.94599999999999995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10</v>
      </c>
      <c r="B8">
        <v>11.577</v>
      </c>
      <c r="C8">
        <v>1872.4</v>
      </c>
      <c r="D8">
        <v>29.7</v>
      </c>
      <c r="E8">
        <v>0.92449999999999999</v>
      </c>
      <c r="F8">
        <v>15.835000000000001</v>
      </c>
      <c r="G8">
        <v>1.022</v>
      </c>
      <c r="M8" t="s">
        <v>54</v>
      </c>
      <c r="N8">
        <f>'CGA Calibration'!P11</f>
        <v>150585.9375</v>
      </c>
    </row>
    <row r="9" spans="1:14" x14ac:dyDescent="0.3">
      <c r="A9">
        <v>14</v>
      </c>
      <c r="B9">
        <v>23.157</v>
      </c>
      <c r="C9">
        <v>2484.4</v>
      </c>
      <c r="D9">
        <v>90.1</v>
      </c>
      <c r="E9">
        <v>0.40749999999999997</v>
      </c>
      <c r="F9">
        <v>21.01</v>
      </c>
      <c r="G9">
        <v>0.73599999999999999</v>
      </c>
      <c r="M9" t="s">
        <v>55</v>
      </c>
      <c r="N9">
        <f>'CGA Calibration'!P12</f>
        <v>386.37622436100969</v>
      </c>
    </row>
    <row r="10" spans="1:14" x14ac:dyDescent="0.3">
      <c r="A10">
        <v>15</v>
      </c>
      <c r="B10">
        <v>25.696999999999999</v>
      </c>
      <c r="C10">
        <f>192.1+1825.7</f>
        <v>2017.8</v>
      </c>
      <c r="D10">
        <v>104.7</v>
      </c>
      <c r="E10">
        <v>0.27139999999999997</v>
      </c>
      <c r="F10">
        <v>15.44</v>
      </c>
      <c r="G10">
        <v>0.96699999999999997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2506.6000000000004</v>
      </c>
      <c r="B14">
        <f>AVERAGE(C10,C5)</f>
        <v>2067.4</v>
      </c>
      <c r="C14">
        <f>AVERAGE(C3,C8)</f>
        <v>1864.8000000000002</v>
      </c>
      <c r="D14">
        <f>A14/'CGA Calibration'!I17</f>
        <v>50.34287517021189</v>
      </c>
      <c r="E14">
        <f>B14/'CGA Calibration'!I17</f>
        <v>41.521926165681023</v>
      </c>
      <c r="F14">
        <f>C14/'CGA Calibration'!I17</f>
        <v>37.452881838909732</v>
      </c>
      <c r="I14" s="2">
        <f>(D14*G13*H13)/1000</f>
        <v>5.2860018928722489E-2</v>
      </c>
      <c r="J14" s="2">
        <f>(E14*H13*G13)/1000</f>
        <v>4.3598022473965076E-2</v>
      </c>
      <c r="K14" s="2">
        <f>(F14*H13*G13)/1000</f>
        <v>3.9325525930855219E-2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-6762.5</v>
      </c>
      <c r="I17">
        <f>H17^2</f>
        <v>45731406.25</v>
      </c>
      <c r="J17">
        <f>N11*SQRT(N4+N5+(I17/(N3^2*N8)))</f>
        <v>7.0377093710875371</v>
      </c>
      <c r="K17" s="2">
        <f>J17*G13*H13</f>
        <v>7.389594839641914</v>
      </c>
      <c r="L17">
        <f>K17/1000</f>
        <v>7.3895948396419144E-3</v>
      </c>
    </row>
    <row r="18" spans="1:14" x14ac:dyDescent="0.3">
      <c r="G18" s="2" t="s">
        <v>19</v>
      </c>
      <c r="H18">
        <f>B14-N6</f>
        <v>-7201.7000000000007</v>
      </c>
      <c r="I18">
        <f t="shared" ref="I18:I19" si="0">H18^2</f>
        <v>51864482.890000008</v>
      </c>
      <c r="J18">
        <f>N11*SQRT(N4+N5+(I18/(N3^2*N8)))</f>
        <v>7.1076473020862005</v>
      </c>
      <c r="K18" s="2">
        <f>J18*G13*H13</f>
        <v>7.4630296671905105</v>
      </c>
      <c r="L18">
        <f t="shared" ref="L18:L19" si="1">K18/1000</f>
        <v>7.4630296671905107E-3</v>
      </c>
    </row>
    <row r="19" spans="1:14" x14ac:dyDescent="0.3">
      <c r="G19" s="2" t="s">
        <v>20</v>
      </c>
      <c r="H19">
        <f>C14-N6</f>
        <v>-7404.3</v>
      </c>
      <c r="I19">
        <f t="shared" si="0"/>
        <v>54823658.490000002</v>
      </c>
      <c r="J19">
        <f>N11*SQRT(N4+N5+(I19/(N3^2*N8)))</f>
        <v>7.1411470015940539</v>
      </c>
      <c r="K19" s="2">
        <f>J19*G13*H13</f>
        <v>7.4982043516737571</v>
      </c>
      <c r="L19">
        <f t="shared" si="1"/>
        <v>7.4982043516737575E-3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35"/>
  <sheetViews>
    <sheetView workbookViewId="0">
      <selection activeCell="I14" sqref="I14:K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10</v>
      </c>
      <c r="B3">
        <v>11.276</v>
      </c>
      <c r="C3">
        <v>1776.6</v>
      </c>
      <c r="D3">
        <v>28.2</v>
      </c>
      <c r="E3">
        <v>0.93869999999999998</v>
      </c>
      <c r="F3">
        <v>15.683</v>
      </c>
      <c r="G3">
        <v>1.012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14</v>
      </c>
      <c r="B4">
        <v>22.925999999999998</v>
      </c>
      <c r="C4">
        <v>2400.6</v>
      </c>
      <c r="D4">
        <v>85</v>
      </c>
      <c r="E4">
        <v>0.41570000000000001</v>
      </c>
      <c r="F4">
        <v>21.193000000000001</v>
      </c>
      <c r="G4">
        <v>0.745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15</v>
      </c>
      <c r="B5">
        <v>25.509</v>
      </c>
      <c r="C5">
        <f>181.5+1773.4</f>
        <v>1954.9</v>
      </c>
      <c r="D5">
        <v>99.2</v>
      </c>
      <c r="E5">
        <v>0.27660000000000001</v>
      </c>
      <c r="F5">
        <v>15.656000000000001</v>
      </c>
      <c r="G5">
        <v>0.96899999999999997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10</v>
      </c>
      <c r="B8">
        <v>11.288</v>
      </c>
      <c r="C8">
        <v>1746.5</v>
      </c>
      <c r="D8">
        <v>28.6</v>
      </c>
      <c r="E8">
        <v>0.89539999999999997</v>
      </c>
      <c r="F8">
        <v>17.181999999999999</v>
      </c>
      <c r="G8">
        <v>1.018</v>
      </c>
      <c r="M8" t="s">
        <v>54</v>
      </c>
      <c r="N8">
        <f>'CGA Calibration'!P11</f>
        <v>150585.9375</v>
      </c>
    </row>
    <row r="9" spans="1:14" x14ac:dyDescent="0.3">
      <c r="A9">
        <v>14</v>
      </c>
      <c r="B9">
        <v>22.753</v>
      </c>
      <c r="C9">
        <v>2364.3000000000002</v>
      </c>
      <c r="D9">
        <v>84.2</v>
      </c>
      <c r="E9">
        <v>0.41349999999999998</v>
      </c>
      <c r="F9">
        <v>23.26</v>
      </c>
      <c r="G9">
        <v>0.74199999999999999</v>
      </c>
      <c r="M9" t="s">
        <v>55</v>
      </c>
      <c r="N9">
        <f>'CGA Calibration'!P12</f>
        <v>386.37622436100969</v>
      </c>
    </row>
    <row r="10" spans="1:14" x14ac:dyDescent="0.3">
      <c r="A10">
        <v>15</v>
      </c>
      <c r="B10">
        <v>25.335999999999999</v>
      </c>
      <c r="C10">
        <f>178.6+1747.2</f>
        <v>1925.8</v>
      </c>
      <c r="D10">
        <v>98.1</v>
      </c>
      <c r="E10">
        <v>0.27589999999999998</v>
      </c>
      <c r="F10">
        <v>17.189</v>
      </c>
      <c r="G10">
        <v>0.96799999999999997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2382.4499999999998</v>
      </c>
      <c r="B14">
        <f>AVERAGE(C10,C5)</f>
        <v>1940.35</v>
      </c>
      <c r="C14">
        <f>AVERAGE(C3,C8)</f>
        <v>1761.55</v>
      </c>
      <c r="D14">
        <f>A14/'CGA Calibration'!I17</f>
        <v>47.849430682706178</v>
      </c>
      <c r="E14">
        <f>B14/'CGA Calibration'!I17</f>
        <v>38.970237707061607</v>
      </c>
      <c r="F14">
        <f>C14/'CGA Calibration'!I17</f>
        <v>35.379195625982106</v>
      </c>
      <c r="I14" s="2">
        <f>(D14*G13*H13)/1000</f>
        <v>5.0241902216841487E-2</v>
      </c>
      <c r="J14" s="2">
        <f>(E14*H13*G13)/1000</f>
        <v>4.0918749592414691E-2</v>
      </c>
      <c r="K14" s="2">
        <f>(F14*H13*G13)/1000</f>
        <v>3.7148155407281218E-2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-6886.6500000000005</v>
      </c>
      <c r="I17">
        <f>H17^2</f>
        <v>47425948.222500004</v>
      </c>
      <c r="J17">
        <f>N11*SQRT(N4+N5+(I17/(N3^2*N8)))</f>
        <v>7.0571022080812043</v>
      </c>
      <c r="K17" s="2">
        <f>J17*G13*H13</f>
        <v>7.4099573184852652</v>
      </c>
      <c r="L17">
        <f>K17/1000</f>
        <v>7.4099573184852651E-3</v>
      </c>
    </row>
    <row r="18" spans="1:14" x14ac:dyDescent="0.3">
      <c r="G18" s="2" t="s">
        <v>19</v>
      </c>
      <c r="H18">
        <f>B14-N6</f>
        <v>-7328.75</v>
      </c>
      <c r="I18">
        <f t="shared" ref="I18:I19" si="0">H18^2</f>
        <v>53710576.5625</v>
      </c>
      <c r="J18">
        <f>N11*SQRT(N4+N5+(I18/(N3^2*N8)))</f>
        <v>7.1285646961514813</v>
      </c>
      <c r="K18" s="2">
        <f>J18*G13*H13</f>
        <v>7.4849929309590557</v>
      </c>
      <c r="L18">
        <f t="shared" ref="L18:L19" si="1">K18/1000</f>
        <v>7.4849929309590557E-3</v>
      </c>
    </row>
    <row r="19" spans="1:14" x14ac:dyDescent="0.3">
      <c r="G19" s="2" t="s">
        <v>20</v>
      </c>
      <c r="H19">
        <f>C14-N6</f>
        <v>-7507.55</v>
      </c>
      <c r="I19">
        <f t="shared" si="0"/>
        <v>56363307.002500005</v>
      </c>
      <c r="J19">
        <f>N11*SQRT(N4+N5+(I19/(N3^2*N8)))</f>
        <v>7.1585147737267762</v>
      </c>
      <c r="K19" s="2">
        <f>J19*G13*H13</f>
        <v>7.5164405124131157</v>
      </c>
      <c r="L19">
        <f t="shared" si="1"/>
        <v>7.5164405124131155E-3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35"/>
  <sheetViews>
    <sheetView topLeftCell="E1" zoomScale="99" zoomScaleNormal="99" workbookViewId="0">
      <selection activeCell="I14" sqref="I14:K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10</v>
      </c>
      <c r="B3">
        <v>11.598000000000001</v>
      </c>
      <c r="C3">
        <v>1716</v>
      </c>
      <c r="D3">
        <v>27.7</v>
      </c>
      <c r="E3">
        <v>0.93400000000000005</v>
      </c>
      <c r="F3">
        <v>17.957000000000001</v>
      </c>
      <c r="G3">
        <v>1.026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14</v>
      </c>
      <c r="B4">
        <v>23.004000000000001</v>
      </c>
      <c r="C4">
        <v>2276.1999999999998</v>
      </c>
      <c r="D4">
        <v>82.6</v>
      </c>
      <c r="E4">
        <v>0.40570000000000001</v>
      </c>
      <c r="F4">
        <v>23.818000000000001</v>
      </c>
      <c r="G4">
        <v>0.745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15</v>
      </c>
      <c r="B5">
        <v>25.539000000000001</v>
      </c>
      <c r="C5">
        <f>199.9+1697.3</f>
        <v>1897.2</v>
      </c>
      <c r="D5">
        <v>96.2</v>
      </c>
      <c r="E5">
        <v>0.27389999999999998</v>
      </c>
      <c r="F5">
        <v>17.760999999999999</v>
      </c>
      <c r="G5">
        <v>0.97099999999999997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11</v>
      </c>
      <c r="B8">
        <v>11.69</v>
      </c>
      <c r="C8">
        <v>1638</v>
      </c>
      <c r="D8">
        <v>27.6</v>
      </c>
      <c r="E8">
        <v>0.90549999999999997</v>
      </c>
      <c r="F8">
        <v>17.256</v>
      </c>
      <c r="G8">
        <v>0.89400000000000002</v>
      </c>
      <c r="M8" t="s">
        <v>54</v>
      </c>
      <c r="N8">
        <f>'CGA Calibration'!P11</f>
        <v>150585.9375</v>
      </c>
    </row>
    <row r="9" spans="1:14" x14ac:dyDescent="0.3">
      <c r="A9">
        <v>15</v>
      </c>
      <c r="B9">
        <v>23.097999999999999</v>
      </c>
      <c r="C9">
        <v>2265.1999999999998</v>
      </c>
      <c r="D9">
        <v>84.4</v>
      </c>
      <c r="E9">
        <v>0.3972</v>
      </c>
      <c r="F9">
        <v>23.864000000000001</v>
      </c>
      <c r="G9">
        <v>0.746</v>
      </c>
      <c r="M9" t="s">
        <v>55</v>
      </c>
      <c r="N9">
        <f>'CGA Calibration'!P12</f>
        <v>386.37622436100969</v>
      </c>
    </row>
    <row r="10" spans="1:14" x14ac:dyDescent="0.3">
      <c r="A10">
        <v>16</v>
      </c>
      <c r="B10">
        <v>25.587</v>
      </c>
      <c r="C10">
        <f>222.9+1666.1</f>
        <v>1889</v>
      </c>
      <c r="D10">
        <v>96.8</v>
      </c>
      <c r="E10">
        <v>0.26679999999999998</v>
      </c>
      <c r="F10">
        <v>17.552</v>
      </c>
      <c r="G10">
        <v>0.96799999999999997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2270.6999999999998</v>
      </c>
      <c r="B14">
        <f>AVERAGE(C10,C5)</f>
        <v>1893.1</v>
      </c>
      <c r="C14">
        <f>AVERAGE(C3,C8)</f>
        <v>1677</v>
      </c>
      <c r="D14">
        <f>A14/'CGA Calibration'!I17</f>
        <v>45.605029382031482</v>
      </c>
      <c r="E14">
        <f>B14/'CGA Calibration'!I17</f>
        <v>38.021262660467613</v>
      </c>
      <c r="F14">
        <f>C14/'CGA Calibration'!I17</f>
        <v>33.68108260609803</v>
      </c>
      <c r="I14" s="2">
        <f>(D14*G13*H13)/1000</f>
        <v>4.7885280851133062E-2</v>
      </c>
      <c r="J14" s="2">
        <f>(E14*H13*G13)/1000</f>
        <v>3.9922325793490997E-2</v>
      </c>
      <c r="K14" s="2">
        <f>(F14*H13*G13)/1000</f>
        <v>3.536513673640293E-2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-6998.4000000000005</v>
      </c>
      <c r="I17">
        <f>H17^2</f>
        <v>48977602.56000001</v>
      </c>
      <c r="J17">
        <f>N11*SQRT(N4+N5+(I17/(N3^2*N8)))</f>
        <v>7.0748131738056133</v>
      </c>
      <c r="K17" s="2">
        <f>J17*G13*H13</f>
        <v>7.4285538324958944</v>
      </c>
      <c r="L17">
        <f>K17/1000</f>
        <v>7.4285538324958943E-3</v>
      </c>
    </row>
    <row r="18" spans="1:14" x14ac:dyDescent="0.3">
      <c r="G18" s="2" t="s">
        <v>19</v>
      </c>
      <c r="H18">
        <f>B14-N6</f>
        <v>-7376</v>
      </c>
      <c r="I18">
        <f t="shared" ref="I18:I19" si="0">H18^2</f>
        <v>54405376</v>
      </c>
      <c r="J18">
        <f>N11*SQRT(N4+N5+(I18/(N3^2*N8)))</f>
        <v>7.136421327921286</v>
      </c>
      <c r="K18" s="2">
        <f>J18*G13*H13</f>
        <v>7.4932423943173507</v>
      </c>
      <c r="L18">
        <f t="shared" ref="L18:L19" si="1">K18/1000</f>
        <v>7.4932423943173511E-3</v>
      </c>
    </row>
    <row r="19" spans="1:14" x14ac:dyDescent="0.3">
      <c r="G19" s="2" t="s">
        <v>20</v>
      </c>
      <c r="H19">
        <f>C14-N6</f>
        <v>-7592.1</v>
      </c>
      <c r="I19">
        <f t="shared" si="0"/>
        <v>57639982.410000004</v>
      </c>
      <c r="J19">
        <f>N11*SQRT(N4+N5+(I19/(N3^2*N8)))</f>
        <v>7.1728842254119272</v>
      </c>
      <c r="K19" s="2">
        <f>J19*G13*H13</f>
        <v>7.5315284366825237</v>
      </c>
      <c r="L19">
        <f t="shared" si="1"/>
        <v>7.5315284366825235E-3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35"/>
  <sheetViews>
    <sheetView zoomScale="51" zoomScaleNormal="51" workbookViewId="0">
      <selection activeCell="I14" sqref="I14:K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12</v>
      </c>
      <c r="B3">
        <v>11.724</v>
      </c>
      <c r="C3">
        <v>1720.4</v>
      </c>
      <c r="D3">
        <v>28</v>
      </c>
      <c r="E3">
        <v>0.9173</v>
      </c>
      <c r="F3">
        <v>17.387</v>
      </c>
      <c r="G3">
        <v>1.08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16</v>
      </c>
      <c r="B4">
        <v>23.155000000000001</v>
      </c>
      <c r="C4">
        <v>2309.6999999999998</v>
      </c>
      <c r="D4">
        <v>86.4</v>
      </c>
      <c r="E4">
        <v>0.39400000000000002</v>
      </c>
      <c r="F4">
        <v>23.343</v>
      </c>
      <c r="G4">
        <v>0.749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17</v>
      </c>
      <c r="B5">
        <v>25.646999999999998</v>
      </c>
      <c r="C5">
        <f>139.6+1712.1</f>
        <v>1851.6999999999998</v>
      </c>
      <c r="D5">
        <v>99.1</v>
      </c>
      <c r="E5">
        <v>0.26750000000000002</v>
      </c>
      <c r="F5">
        <v>17.303000000000001</v>
      </c>
      <c r="G5">
        <v>0.96099999999999997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11</v>
      </c>
      <c r="B8">
        <v>12.872</v>
      </c>
      <c r="C8">
        <v>1682.1</v>
      </c>
      <c r="D8">
        <v>29.6</v>
      </c>
      <c r="E8">
        <v>0.85429999999999995</v>
      </c>
      <c r="F8">
        <v>17.408000000000001</v>
      </c>
      <c r="G8">
        <v>1.0029999999999999</v>
      </c>
      <c r="M8" t="s">
        <v>54</v>
      </c>
      <c r="N8">
        <f>'CGA Calibration'!P11</f>
        <v>150585.9375</v>
      </c>
    </row>
    <row r="9" spans="1:14" x14ac:dyDescent="0.3">
      <c r="A9">
        <v>15</v>
      </c>
      <c r="B9">
        <v>23.402999999999999</v>
      </c>
      <c r="C9">
        <f>253.6+1994.7</f>
        <v>2248.3000000000002</v>
      </c>
      <c r="D9">
        <v>86.9</v>
      </c>
      <c r="E9">
        <v>0.35170000000000001</v>
      </c>
      <c r="F9">
        <v>20.643999999999998</v>
      </c>
      <c r="G9">
        <v>0.90200000000000002</v>
      </c>
      <c r="M9" t="s">
        <v>55</v>
      </c>
      <c r="N9">
        <f>'CGA Calibration'!P12</f>
        <v>386.37622436100969</v>
      </c>
    </row>
    <row r="10" spans="1:14" x14ac:dyDescent="0.3">
      <c r="A10">
        <v>17</v>
      </c>
      <c r="B10">
        <v>25.983000000000001</v>
      </c>
      <c r="C10">
        <f>174.3+1764.6</f>
        <v>1938.8999999999999</v>
      </c>
      <c r="D10">
        <v>100.2</v>
      </c>
      <c r="E10">
        <v>0.27139999999999997</v>
      </c>
      <c r="F10">
        <v>18.262</v>
      </c>
      <c r="G10">
        <v>0.96199999999999997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2279</v>
      </c>
      <c r="B14">
        <f>AVERAGE(C10,C5)</f>
        <v>1895.2999999999997</v>
      </c>
      <c r="C14">
        <f>AVERAGE(C3,C8)</f>
        <v>1701.25</v>
      </c>
      <c r="D14">
        <f>A14/'CGA Calibration'!I17</f>
        <v>45.771727644184509</v>
      </c>
      <c r="E14">
        <f>B14/'CGA Calibration'!I17</f>
        <v>38.065447742002142</v>
      </c>
      <c r="F14">
        <f>C14/'CGA Calibration'!I17</f>
        <v>34.168122709376433</v>
      </c>
      <c r="I14" s="2">
        <f>(D14*G13*H13)/1000</f>
        <v>4.8060314026393734E-2</v>
      </c>
      <c r="J14" s="2">
        <f>(E14*H13*G13)/1000</f>
        <v>3.9968720129102249E-2</v>
      </c>
      <c r="K14" s="2">
        <f>(F14*H13*G13)/1000</f>
        <v>3.5876528844845254E-2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-6990.1</v>
      </c>
      <c r="I17">
        <f>H17^2</f>
        <v>48861498.010000005</v>
      </c>
      <c r="J17">
        <f>N11*SQRT(N4+N5+(I17/(N3^2*N8)))</f>
        <v>7.0734894627693494</v>
      </c>
      <c r="K17" s="2">
        <f>J17*G13*H13</f>
        <v>7.4271639359078172</v>
      </c>
      <c r="L17">
        <f>K17/1000</f>
        <v>7.427163935907817E-3</v>
      </c>
    </row>
    <row r="18" spans="1:14" x14ac:dyDescent="0.3">
      <c r="G18" s="2" t="s">
        <v>19</v>
      </c>
      <c r="H18">
        <f>B14-N6</f>
        <v>-7373.8000000000011</v>
      </c>
      <c r="I18">
        <f t="shared" ref="I18:I19" si="0">H18^2</f>
        <v>54372926.440000013</v>
      </c>
      <c r="J18">
        <f>N11*SQRT(N4+N5+(I18/(N3^2*N8)))</f>
        <v>7.1360545883401416</v>
      </c>
      <c r="K18" s="2">
        <f>J18*G13*H13</f>
        <v>7.4928573177571494</v>
      </c>
      <c r="L18">
        <f t="shared" ref="L18:L19" si="1">K18/1000</f>
        <v>7.4928573177571491E-3</v>
      </c>
    </row>
    <row r="19" spans="1:14" x14ac:dyDescent="0.3">
      <c r="G19" s="2" t="s">
        <v>20</v>
      </c>
      <c r="H19">
        <f>C14-N6</f>
        <v>-7567.85</v>
      </c>
      <c r="I19">
        <f t="shared" si="0"/>
        <v>57272353.622500002</v>
      </c>
      <c r="J19">
        <f>N11*SQRT(N4+N5+(I19/(N3^2*N8)))</f>
        <v>7.1687493809285812</v>
      </c>
      <c r="K19" s="2">
        <f>J19*G13*H13</f>
        <v>7.5271868499750108</v>
      </c>
      <c r="L19">
        <f t="shared" si="1"/>
        <v>7.5271868499750105E-3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35"/>
  <sheetViews>
    <sheetView workbookViewId="0">
      <selection activeCell="F14" sqref="F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9</v>
      </c>
      <c r="B3">
        <v>13.073</v>
      </c>
      <c r="C3">
        <v>1236.7</v>
      </c>
      <c r="D3">
        <v>22.3</v>
      </c>
      <c r="E3">
        <v>0.83599999999999997</v>
      </c>
      <c r="F3">
        <v>19.856000000000002</v>
      </c>
      <c r="G3">
        <v>1.0609999999999999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13</v>
      </c>
      <c r="B4">
        <v>23.460999999999999</v>
      </c>
      <c r="C4">
        <f>241.7+1312.3</f>
        <v>1554</v>
      </c>
      <c r="D4">
        <v>59.8</v>
      </c>
      <c r="E4">
        <v>0.33789999999999998</v>
      </c>
      <c r="F4">
        <v>21.068999999999999</v>
      </c>
      <c r="G4">
        <v>0.93600000000000005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15</v>
      </c>
      <c r="B5">
        <v>26.052</v>
      </c>
      <c r="C5">
        <f>517.9+1187.9</f>
        <v>1705.8000000000002</v>
      </c>
      <c r="D5">
        <v>68.599999999999994</v>
      </c>
      <c r="E5">
        <v>0.26800000000000002</v>
      </c>
      <c r="F5">
        <v>19.071000000000002</v>
      </c>
      <c r="G5">
        <v>0.97699999999999998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9</v>
      </c>
      <c r="B8">
        <v>13.157999999999999</v>
      </c>
      <c r="C8">
        <v>1232.3</v>
      </c>
      <c r="D8">
        <v>22.9</v>
      </c>
      <c r="E8">
        <v>0.81579999999999997</v>
      </c>
      <c r="F8">
        <v>19.683</v>
      </c>
      <c r="G8">
        <v>1.046</v>
      </c>
      <c r="L8" s="5"/>
      <c r="M8" t="s">
        <v>54</v>
      </c>
      <c r="N8">
        <f>'CGA Calibration'!P11</f>
        <v>150585.9375</v>
      </c>
    </row>
    <row r="9" spans="1:14" x14ac:dyDescent="0.3">
      <c r="A9">
        <v>13</v>
      </c>
      <c r="B9">
        <v>23.5</v>
      </c>
      <c r="C9">
        <f>241.5+1314.2</f>
        <v>1555.7</v>
      </c>
      <c r="D9">
        <v>60</v>
      </c>
      <c r="E9">
        <v>0.3377</v>
      </c>
      <c r="F9">
        <v>20.99</v>
      </c>
      <c r="G9">
        <v>0.94</v>
      </c>
      <c r="L9" s="5"/>
      <c r="M9" t="s">
        <v>55</v>
      </c>
      <c r="N9">
        <f>'CGA Calibration'!P12</f>
        <v>386.37622436100969</v>
      </c>
    </row>
    <row r="10" spans="1:14" x14ac:dyDescent="0.3">
      <c r="A10">
        <v>15</v>
      </c>
      <c r="B10">
        <v>26.087</v>
      </c>
      <c r="C10">
        <f>478.9+1164.5</f>
        <v>1643.4</v>
      </c>
      <c r="D10">
        <v>68.2</v>
      </c>
      <c r="E10">
        <v>0.2651</v>
      </c>
      <c r="F10">
        <v>18.599</v>
      </c>
      <c r="G10">
        <v>0.97499999999999998</v>
      </c>
      <c r="L10" s="5"/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1554.85</v>
      </c>
      <c r="B14">
        <f>AVERAGE(C10,C5)</f>
        <v>1674.6000000000001</v>
      </c>
      <c r="C14">
        <f>AVERAGE(C3,C8)</f>
        <v>1234.5</v>
      </c>
      <c r="D14">
        <f>A14/'CGA Calibration'!I17</f>
        <v>31.227806374532811</v>
      </c>
      <c r="E14">
        <f>B14/'CGA Calibration'!I17</f>
        <v>33.632880698969451</v>
      </c>
      <c r="F14" s="18">
        <f>C14/'CGA Calibration'!I17</f>
        <v>24.79385597926537</v>
      </c>
      <c r="I14" s="2">
        <f>(D14*G13*H13)/1000</f>
        <v>3.2789196693259456E-2</v>
      </c>
      <c r="J14" s="2">
        <f>(E14*H13*G13)/1000</f>
        <v>3.5314524733917926E-2</v>
      </c>
      <c r="K14" s="2">
        <f>(F14*H13*G13)/1000</f>
        <v>2.6033548778228638E-2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-7714.25</v>
      </c>
      <c r="I17">
        <f>H17^2</f>
        <v>59509653.0625</v>
      </c>
      <c r="J17">
        <f>N11*SQRT(N4+N5+(I17/(N3^2*N8)))</f>
        <v>7.1938762608435631</v>
      </c>
      <c r="K17" s="2">
        <f>J17*G13*H13</f>
        <v>7.5535700738857416</v>
      </c>
      <c r="L17">
        <f>K17/1000</f>
        <v>7.553570073885742E-3</v>
      </c>
    </row>
    <row r="18" spans="1:14" x14ac:dyDescent="0.3">
      <c r="G18" s="2" t="s">
        <v>19</v>
      </c>
      <c r="H18">
        <f>B14-N6</f>
        <v>-7594.5</v>
      </c>
      <c r="I18">
        <f t="shared" ref="I18:I19" si="0">H18^2</f>
        <v>57676430.25</v>
      </c>
      <c r="J18">
        <f>N11*SQRT(N4+N5+(I18/(N3^2*N8)))</f>
        <v>7.1732940366503604</v>
      </c>
      <c r="K18" s="2">
        <f>J18*G13*H13</f>
        <v>7.5319587384828788</v>
      </c>
      <c r="L18">
        <f t="shared" ref="L18:L19" si="1">K18/1000</f>
        <v>7.5319587384828791E-3</v>
      </c>
    </row>
    <row r="19" spans="1:14" x14ac:dyDescent="0.3">
      <c r="G19" s="2" t="s">
        <v>20</v>
      </c>
      <c r="H19">
        <f>C14-N6</f>
        <v>-8034.6</v>
      </c>
      <c r="I19">
        <f t="shared" si="0"/>
        <v>64554797.160000004</v>
      </c>
      <c r="J19">
        <f>N11*SQRT(N4+N5+(I19/(N3^2*N8)))</f>
        <v>7.2502181684408216</v>
      </c>
      <c r="K19" s="2">
        <f>J19*G13*H13</f>
        <v>7.6127290768628626</v>
      </c>
      <c r="L19">
        <f t="shared" si="1"/>
        <v>7.6127290768628628E-3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35"/>
  <sheetViews>
    <sheetView workbookViewId="0">
      <selection activeCell="I14" sqref="I14:K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12</v>
      </c>
      <c r="B3">
        <v>12.821</v>
      </c>
      <c r="C3">
        <v>3896.8</v>
      </c>
      <c r="D3">
        <v>66.8</v>
      </c>
      <c r="E3">
        <v>0.89690000000000003</v>
      </c>
      <c r="F3">
        <v>16.483000000000001</v>
      </c>
      <c r="G3">
        <v>0.95399999999999996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17</v>
      </c>
      <c r="B4">
        <v>23.527000000000001</v>
      </c>
      <c r="C4">
        <f>736.8+4497</f>
        <v>5233.8</v>
      </c>
      <c r="D4">
        <v>195.2</v>
      </c>
      <c r="E4">
        <v>0.3528</v>
      </c>
      <c r="F4">
        <v>19.021999999999998</v>
      </c>
      <c r="G4">
        <v>0.91600000000000004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20</v>
      </c>
      <c r="B5">
        <v>26.111999999999998</v>
      </c>
      <c r="C5">
        <f>281.7+3999.6</f>
        <v>4281.3</v>
      </c>
      <c r="D5">
        <v>223.3</v>
      </c>
      <c r="E5">
        <v>0.27500000000000002</v>
      </c>
      <c r="F5">
        <v>16.917999999999999</v>
      </c>
      <c r="G5">
        <v>0.91400000000000003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12</v>
      </c>
      <c r="B8">
        <v>12.887</v>
      </c>
      <c r="C8">
        <v>3907.4</v>
      </c>
      <c r="D8">
        <v>67</v>
      </c>
      <c r="E8">
        <v>0.90280000000000005</v>
      </c>
      <c r="F8">
        <v>15.651999999999999</v>
      </c>
      <c r="G8">
        <v>0.95799999999999996</v>
      </c>
      <c r="L8" s="5"/>
      <c r="M8" t="s">
        <v>54</v>
      </c>
      <c r="N8">
        <f>'CGA Calibration'!P11</f>
        <v>150585.9375</v>
      </c>
    </row>
    <row r="9" spans="1:14" x14ac:dyDescent="0.3">
      <c r="A9">
        <v>17</v>
      </c>
      <c r="B9">
        <v>23.625</v>
      </c>
      <c r="C9">
        <f>752.2+4597.6</f>
        <v>5349.8</v>
      </c>
      <c r="D9">
        <v>196.7</v>
      </c>
      <c r="E9">
        <v>0.35670000000000002</v>
      </c>
      <c r="F9">
        <v>18.417000000000002</v>
      </c>
      <c r="G9">
        <v>0.93100000000000005</v>
      </c>
      <c r="L9" s="5"/>
      <c r="M9" t="s">
        <v>55</v>
      </c>
      <c r="N9">
        <f>'CGA Calibration'!P12</f>
        <v>386.37622436100969</v>
      </c>
    </row>
    <row r="10" spans="1:14" x14ac:dyDescent="0.3">
      <c r="A10">
        <v>20</v>
      </c>
      <c r="B10">
        <v>26.228000000000002</v>
      </c>
      <c r="C10">
        <f>746.4+4227.8</f>
        <v>4974.2</v>
      </c>
      <c r="D10">
        <v>228.4</v>
      </c>
      <c r="E10">
        <v>0.28399999999999997</v>
      </c>
      <c r="F10">
        <v>16.936</v>
      </c>
      <c r="G10">
        <v>0.90200000000000002</v>
      </c>
      <c r="L10" s="5"/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5291.8</v>
      </c>
      <c r="B14">
        <f>AVERAGE(C10,C5)</f>
        <v>4627.75</v>
      </c>
      <c r="C14">
        <f>AVERAGE(C3,C8)</f>
        <v>3902.1000000000004</v>
      </c>
      <c r="D14">
        <f>A14/'CGA Calibration'!I17</f>
        <v>106.28118839293356</v>
      </c>
      <c r="E14">
        <f>B14/'CGA Calibration'!I17</f>
        <v>92.94432321429349</v>
      </c>
      <c r="F14">
        <f>C14/'CGA Calibration'!I17</f>
        <v>78.370275752686439</v>
      </c>
      <c r="I14" s="2">
        <f>(D14*G13*H13)/1000</f>
        <v>0.11159524781258023</v>
      </c>
      <c r="J14" s="2">
        <f>(E14*H13*G13)/1000</f>
        <v>9.7591539375008168E-2</v>
      </c>
      <c r="K14" s="2">
        <f>(F14*H13*G13)/1000</f>
        <v>8.2288789540320761E-2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-3977.3</v>
      </c>
      <c r="I17">
        <f>H17^2</f>
        <v>15818915.290000001</v>
      </c>
      <c r="J17">
        <f>N11*SQRT(N4+N5+(I17/(N3^2*N8)))</f>
        <v>6.686128454416199</v>
      </c>
      <c r="K17" s="2">
        <f>J17*G13*H13</f>
        <v>7.0204348771370091</v>
      </c>
      <c r="L17">
        <f>K17/1000</f>
        <v>7.0204348771370087E-3</v>
      </c>
    </row>
    <row r="18" spans="1:14" x14ac:dyDescent="0.3">
      <c r="G18" s="2" t="s">
        <v>19</v>
      </c>
      <c r="H18">
        <f>B14-N6</f>
        <v>-4641.3500000000004</v>
      </c>
      <c r="I18">
        <f t="shared" ref="I18:I19" si="0">H18^2</f>
        <v>21542129.822500002</v>
      </c>
      <c r="J18">
        <f>N11*SQRT(N4+N5+(I18/(N3^2*N8)))</f>
        <v>6.754812936743015</v>
      </c>
      <c r="K18" s="2">
        <f>J18*G13*H13</f>
        <v>7.0925535835801661</v>
      </c>
      <c r="L18">
        <f t="shared" ref="L18:L19" si="1">K18/1000</f>
        <v>7.0925535835801657E-3</v>
      </c>
    </row>
    <row r="19" spans="1:14" x14ac:dyDescent="0.3">
      <c r="G19" s="2" t="s">
        <v>20</v>
      </c>
      <c r="H19">
        <f>C14-N6</f>
        <v>-5367</v>
      </c>
      <c r="I19">
        <f t="shared" si="0"/>
        <v>28804689</v>
      </c>
      <c r="J19">
        <f>N11*SQRT(N4+N5+(I19/(N3^2*N8)))</f>
        <v>6.8409784507566744</v>
      </c>
      <c r="K19" s="2">
        <f>J19*G13*H13</f>
        <v>7.1830273732945082</v>
      </c>
      <c r="L19">
        <f t="shared" si="1"/>
        <v>7.183027373294508E-3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35"/>
  <sheetViews>
    <sheetView workbookViewId="0">
      <selection activeCell="K14" sqref="I14:K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11</v>
      </c>
      <c r="B3">
        <v>13.336</v>
      </c>
      <c r="C3">
        <v>1907.3</v>
      </c>
      <c r="D3">
        <v>35.6</v>
      </c>
      <c r="E3">
        <v>0.82330000000000003</v>
      </c>
      <c r="F3">
        <v>15.569000000000001</v>
      </c>
      <c r="G3">
        <v>1.03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15</v>
      </c>
      <c r="B4">
        <v>23.777999999999999</v>
      </c>
      <c r="C4">
        <f>277.5+2308.1</f>
        <v>2585.6</v>
      </c>
      <c r="D4">
        <v>101.8</v>
      </c>
      <c r="E4">
        <v>0.34839999999999999</v>
      </c>
      <c r="F4">
        <v>18.841000000000001</v>
      </c>
      <c r="G4">
        <v>0.88800000000000001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17</v>
      </c>
      <c r="B5">
        <v>26.343</v>
      </c>
      <c r="C5">
        <v>2132</v>
      </c>
      <c r="D5">
        <v>116.8</v>
      </c>
      <c r="E5">
        <v>0.27689999999999998</v>
      </c>
      <c r="F5">
        <v>17.402999999999999</v>
      </c>
      <c r="G5">
        <v>0.94399999999999995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11</v>
      </c>
      <c r="B8">
        <v>13.337999999999999</v>
      </c>
      <c r="C8">
        <v>1906.2</v>
      </c>
      <c r="D8">
        <v>35.200000000000003</v>
      </c>
      <c r="E8">
        <v>0.82689999999999997</v>
      </c>
      <c r="F8">
        <v>16.88</v>
      </c>
      <c r="G8">
        <v>1.0269999999999999</v>
      </c>
      <c r="L8" s="5"/>
      <c r="M8" t="s">
        <v>54</v>
      </c>
      <c r="N8">
        <f>'CGA Calibration'!P11</f>
        <v>150585.9375</v>
      </c>
    </row>
    <row r="9" spans="1:14" x14ac:dyDescent="0.3">
      <c r="A9">
        <v>15</v>
      </c>
      <c r="B9">
        <v>23.817</v>
      </c>
      <c r="C9">
        <f>276.4+2308.5</f>
        <v>2584.9</v>
      </c>
      <c r="D9">
        <v>101.2</v>
      </c>
      <c r="E9">
        <v>0.3463</v>
      </c>
      <c r="F9">
        <v>20.443999999999999</v>
      </c>
      <c r="G9">
        <v>0.89</v>
      </c>
      <c r="L9" s="5"/>
      <c r="M9" t="s">
        <v>55</v>
      </c>
      <c r="N9">
        <f>'CGA Calibration'!P12</f>
        <v>386.37622436100969</v>
      </c>
    </row>
    <row r="10" spans="1:14" x14ac:dyDescent="0.3">
      <c r="A10">
        <v>17</v>
      </c>
      <c r="B10">
        <v>26.390999999999998</v>
      </c>
      <c r="C10">
        <f>204.7+1977.5</f>
        <v>2182.1999999999998</v>
      </c>
      <c r="D10">
        <v>114</v>
      </c>
      <c r="E10">
        <v>0.26840000000000003</v>
      </c>
      <c r="F10">
        <v>17.512</v>
      </c>
      <c r="G10">
        <v>0.96199999999999997</v>
      </c>
      <c r="L10" s="5"/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2585.25</v>
      </c>
      <c r="B14">
        <f>AVERAGE(C10,C5)</f>
        <v>2157.1</v>
      </c>
      <c r="C14">
        <f>AVERAGE(C3,C8)</f>
        <v>1906.75</v>
      </c>
      <c r="D14">
        <f>A14/'CGA Calibration'!I17</f>
        <v>51.922491835071519</v>
      </c>
      <c r="E14">
        <f>B14/'CGA Calibration'!I17</f>
        <v>43.323472444611845</v>
      </c>
      <c r="F14">
        <f>C14/'CGA Calibration'!I17</f>
        <v>38.295411007261436</v>
      </c>
      <c r="I14" s="2">
        <f>(D14*G13*H13)/1000</f>
        <v>5.4518616426825095E-2</v>
      </c>
      <c r="J14" s="2">
        <f>(E14*H13*G13)/1000</f>
        <v>4.5489646066842443E-2</v>
      </c>
      <c r="K14" s="2">
        <f>(F14*H13*G13)/1000</f>
        <v>4.0210181557624507E-2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-6683.85</v>
      </c>
      <c r="I17">
        <f>H17^2</f>
        <v>44673850.822500005</v>
      </c>
      <c r="J17">
        <f>N11*SQRT(N4+N5+(I17/(N3^2*N8)))</f>
        <v>7.025579266675285</v>
      </c>
      <c r="K17" s="2">
        <f>J17*G13*H13</f>
        <v>7.3768582300090495</v>
      </c>
      <c r="L17">
        <f>K17/1000</f>
        <v>7.3768582300090492E-3</v>
      </c>
    </row>
    <row r="18" spans="1:14" x14ac:dyDescent="0.3">
      <c r="G18" s="2" t="s">
        <v>19</v>
      </c>
      <c r="H18">
        <f>B14-N6</f>
        <v>-7112</v>
      </c>
      <c r="I18">
        <f t="shared" ref="I18:I19" si="0">H18^2</f>
        <v>50580544</v>
      </c>
      <c r="J18">
        <f>N11*SQRT(N4+N5+(I18/(N3^2*N8)))</f>
        <v>7.0930631033471325</v>
      </c>
      <c r="K18" s="2">
        <f>J18*G13*H13</f>
        <v>7.4477162585144896</v>
      </c>
      <c r="L18">
        <f t="shared" ref="L18:L19" si="1">K18/1000</f>
        <v>7.4477162585144894E-3</v>
      </c>
    </row>
    <row r="19" spans="1:14" x14ac:dyDescent="0.3">
      <c r="G19" s="2" t="s">
        <v>20</v>
      </c>
      <c r="H19">
        <f>C14-N6</f>
        <v>-7362.35</v>
      </c>
      <c r="I19">
        <f t="shared" si="0"/>
        <v>54204197.522500008</v>
      </c>
      <c r="J19">
        <f>N11*SQRT(N4+N5+(I19/(N3^2*N8)))</f>
        <v>7.1341473380358282</v>
      </c>
      <c r="K19" s="2">
        <f>J19*G13*H13</f>
        <v>7.49085470493762</v>
      </c>
      <c r="L19">
        <f t="shared" si="1"/>
        <v>7.4908547049376203E-3</v>
      </c>
    </row>
    <row r="24" spans="1:14" x14ac:dyDescent="0.3">
      <c r="F24">
        <f>163.5</f>
        <v>163.5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5"/>
  <sheetViews>
    <sheetView zoomScale="80" zoomScaleNormal="80" workbookViewId="0">
      <selection activeCell="D14" sqref="D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2" width="17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>
        <v>5</v>
      </c>
      <c r="M2" t="str">
        <f>'CGA Calibration'!O5</f>
        <v>standard error in slope sb</v>
      </c>
      <c r="N2">
        <f>'CGA Calibration'!P5</f>
        <v>0.67028778587684146</v>
      </c>
    </row>
    <row r="3" spans="1:14" x14ac:dyDescent="0.3">
      <c r="A3">
        <v>10</v>
      </c>
      <c r="B3">
        <v>12.906000000000001</v>
      </c>
      <c r="C3">
        <v>1024.5</v>
      </c>
      <c r="D3">
        <v>17.100000000000001</v>
      </c>
      <c r="E3">
        <v>0.87439999999999996</v>
      </c>
      <c r="F3">
        <v>16.457000000000001</v>
      </c>
      <c r="G3">
        <v>1.0229999999999999</v>
      </c>
      <c r="H3">
        <v>3</v>
      </c>
      <c r="M3" t="str">
        <f>'CGA Calibration'!O6</f>
        <v>b</v>
      </c>
      <c r="N3">
        <f>'CGA Calibration'!P6</f>
        <v>49.790561058045547</v>
      </c>
    </row>
    <row r="4" spans="1:14" x14ac:dyDescent="0.3">
      <c r="A4">
        <v>13</v>
      </c>
      <c r="B4">
        <v>23.81</v>
      </c>
      <c r="C4">
        <v>1335.6</v>
      </c>
      <c r="D4">
        <v>53</v>
      </c>
      <c r="E4">
        <v>0.37430000000000002</v>
      </c>
      <c r="F4">
        <v>21.452999999999999</v>
      </c>
      <c r="G4">
        <v>0.72799999999999998</v>
      </c>
      <c r="H4">
        <v>4</v>
      </c>
      <c r="M4" t="str">
        <f>'CGA Calibration'!O7</f>
        <v>1/m</v>
      </c>
      <c r="N4">
        <f>'CGA Calibration'!P7</f>
        <v>0.5</v>
      </c>
    </row>
    <row r="5" spans="1:14" x14ac:dyDescent="0.3">
      <c r="A5">
        <v>14</v>
      </c>
      <c r="B5">
        <v>26.306999999999999</v>
      </c>
      <c r="C5">
        <f>348.9+1028.4</f>
        <v>1377.3000000000002</v>
      </c>
      <c r="D5">
        <v>60.2</v>
      </c>
      <c r="E5">
        <v>0.26529999999999998</v>
      </c>
      <c r="F5">
        <v>16.518999999999998</v>
      </c>
      <c r="G5">
        <v>0.98599999999999999</v>
      </c>
      <c r="M5" t="str">
        <f>'CGA Calibration'!O8</f>
        <v>1/n</v>
      </c>
      <c r="N5">
        <f>'CGA Calibration'!P8</f>
        <v>0.2</v>
      </c>
    </row>
    <row r="6" spans="1:14" x14ac:dyDescent="0.3">
      <c r="M6" t="str">
        <f>'CGA Calibration'!O9</f>
        <v>mean y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tr">
        <f>'CGA Calibration'!O10</f>
        <v>mean x</v>
      </c>
      <c r="N7">
        <f>'CGA Calibration'!P10</f>
        <v>190.625</v>
      </c>
    </row>
    <row r="8" spans="1:14" x14ac:dyDescent="0.3">
      <c r="A8">
        <v>10</v>
      </c>
      <c r="B8">
        <v>12.478999999999999</v>
      </c>
      <c r="C8">
        <v>986.2</v>
      </c>
      <c r="D8">
        <v>16.5</v>
      </c>
      <c r="E8">
        <v>0.88349999999999995</v>
      </c>
      <c r="F8">
        <v>16.619</v>
      </c>
      <c r="G8">
        <v>0.95099999999999996</v>
      </c>
      <c r="M8" t="str">
        <f>'CGA Calibration'!O11</f>
        <v>sum xi-mean x</v>
      </c>
      <c r="N8">
        <f>'CGA Calibration'!P11</f>
        <v>150585.9375</v>
      </c>
    </row>
    <row r="9" spans="1:14" x14ac:dyDescent="0.3">
      <c r="A9">
        <v>13</v>
      </c>
      <c r="B9">
        <v>23.619</v>
      </c>
      <c r="C9">
        <v>1392.6</v>
      </c>
      <c r="D9">
        <v>53.1</v>
      </c>
      <c r="E9">
        <v>0.3861</v>
      </c>
      <c r="F9">
        <v>23.468</v>
      </c>
      <c r="G9">
        <v>0.73399999999999999</v>
      </c>
      <c r="M9" t="str">
        <f>'CGA Calibration'!O12</f>
        <v>standard error in regression, s yx</v>
      </c>
      <c r="N9">
        <f>'CGA Calibration'!P12</f>
        <v>386.37622436100969</v>
      </c>
    </row>
    <row r="10" spans="1:14" x14ac:dyDescent="0.3">
      <c r="A10">
        <v>14</v>
      </c>
      <c r="B10">
        <v>26.099</v>
      </c>
      <c r="C10">
        <f>352.1+1019.7</f>
        <v>1371.8000000000002</v>
      </c>
      <c r="D10">
        <v>59.6</v>
      </c>
      <c r="E10">
        <v>0.26369999999999999</v>
      </c>
      <c r="F10">
        <v>17.183</v>
      </c>
      <c r="G10">
        <v>0.98299999999999998</v>
      </c>
      <c r="M10">
        <f>'CGA Calibration'!O13</f>
        <v>0</v>
      </c>
      <c r="N10">
        <f>'CGA Calibration'!P13</f>
        <v>0</v>
      </c>
    </row>
    <row r="11" spans="1:14" x14ac:dyDescent="0.3">
      <c r="M11" t="str">
        <f>'CGA Calibration'!O14</f>
        <v>sy,x / b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1" t="s">
        <v>15</v>
      </c>
      <c r="H12" s="1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AVERAGE(C3,C9)</f>
        <v>1208.55</v>
      </c>
      <c r="B14">
        <f>AVERAGE(C10,C4)</f>
        <v>1353.7</v>
      </c>
      <c r="C14">
        <f>AVERAGE(C2,C8)</f>
        <v>986.2</v>
      </c>
      <c r="D14" s="11">
        <f>A14/'CGA Calibration'!I17</f>
        <v>24.272672858437552</v>
      </c>
      <c r="E14">
        <f>B14/'CGA Calibration'!I17</f>
        <v>27.187884033318372</v>
      </c>
      <c r="F14">
        <f>C14/'CGA Calibration'!I17</f>
        <v>19.806967004253956</v>
      </c>
      <c r="I14" s="2">
        <f>(D14*G13*H13)/1000</f>
        <v>2.548630650135943E-2</v>
      </c>
      <c r="J14" s="2">
        <f>(E14*H13*G13)/1000</f>
        <v>2.8547278234984295E-2</v>
      </c>
      <c r="K14" s="2">
        <f>(F14*H13*G13)/1000</f>
        <v>2.0797315354466654E-2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59</v>
      </c>
      <c r="L16" t="s">
        <v>69</v>
      </c>
    </row>
    <row r="17" spans="1:14" x14ac:dyDescent="0.3">
      <c r="G17" s="2" t="s">
        <v>18</v>
      </c>
      <c r="H17">
        <f>A14-N6</f>
        <v>-8060.55</v>
      </c>
      <c r="I17">
        <f>H17^2</f>
        <v>64972466.302500002</v>
      </c>
      <c r="J17">
        <f>N11*SQRT(N4+N5+(I17/(N3^2*N8)))</f>
        <v>7.2548628989548565</v>
      </c>
      <c r="K17" s="2">
        <f>J17*G13*H13</f>
        <v>7.6176060439025992</v>
      </c>
      <c r="L17">
        <f>K17/1000</f>
        <v>7.6176060439025993E-3</v>
      </c>
    </row>
    <row r="18" spans="1:14" x14ac:dyDescent="0.3">
      <c r="G18" s="2" t="s">
        <v>19</v>
      </c>
      <c r="H18">
        <f>B14-N6</f>
        <v>-7915.4000000000005</v>
      </c>
      <c r="I18">
        <f t="shared" ref="I18:I19" si="0">H18^2</f>
        <v>62653557.160000011</v>
      </c>
      <c r="J18">
        <f>N11*SQRT(N4+N5+(I18/(N3^2*N8)))</f>
        <v>7.2290375324667453</v>
      </c>
      <c r="K18" s="2">
        <f>J18*G13*H13</f>
        <v>7.5904894090900825</v>
      </c>
      <c r="L18">
        <f t="shared" ref="L18:L19" si="1">K18/1000</f>
        <v>7.5904894090900827E-3</v>
      </c>
    </row>
    <row r="19" spans="1:14" x14ac:dyDescent="0.3">
      <c r="G19" s="2" t="s">
        <v>20</v>
      </c>
      <c r="H19">
        <f>C14-N6</f>
        <v>-8282.9</v>
      </c>
      <c r="I19">
        <f t="shared" si="0"/>
        <v>68606432.409999996</v>
      </c>
      <c r="J19">
        <f>N11*SQRT(N4+N5+(I19/(N3^2*N8)))</f>
        <v>7.2951499784899871</v>
      </c>
      <c r="K19" s="2">
        <f>J19*G13*H13</f>
        <v>7.6599074774144871</v>
      </c>
      <c r="L19">
        <f t="shared" si="1"/>
        <v>7.6599074774144869E-3</v>
      </c>
    </row>
    <row r="25" spans="1:14" x14ac:dyDescent="0.3">
      <c r="A25" t="s">
        <v>25</v>
      </c>
    </row>
    <row r="26" spans="1:14" x14ac:dyDescent="0.3">
      <c r="A26" t="s">
        <v>7</v>
      </c>
      <c r="B26" t="s">
        <v>8</v>
      </c>
      <c r="C26" t="s">
        <v>0</v>
      </c>
      <c r="D26" t="s">
        <v>9</v>
      </c>
      <c r="E26" t="s">
        <v>10</v>
      </c>
      <c r="F26" t="s">
        <v>11</v>
      </c>
      <c r="G26" t="s">
        <v>12</v>
      </c>
      <c r="M26" t="s">
        <v>48</v>
      </c>
      <c r="N26">
        <v>85.133198199906218</v>
      </c>
    </row>
    <row r="27" spans="1:14" x14ac:dyDescent="0.3">
      <c r="A27">
        <v>26</v>
      </c>
      <c r="B27">
        <v>20.686</v>
      </c>
      <c r="C27">
        <v>4653.8</v>
      </c>
      <c r="D27">
        <v>321.5</v>
      </c>
      <c r="E27">
        <v>0.22289999999999999</v>
      </c>
      <c r="F27">
        <v>7.8090000000000002</v>
      </c>
      <c r="G27">
        <v>1.6719999999999999</v>
      </c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A29" t="s">
        <v>7</v>
      </c>
      <c r="B29" t="s">
        <v>8</v>
      </c>
      <c r="C29" t="s">
        <v>0</v>
      </c>
      <c r="D29" t="s">
        <v>9</v>
      </c>
      <c r="E29" t="s">
        <v>10</v>
      </c>
      <c r="F29" t="s">
        <v>11</v>
      </c>
      <c r="G29" t="s">
        <v>12</v>
      </c>
      <c r="M29" t="s">
        <v>51</v>
      </c>
      <c r="N29">
        <v>0.16666666666666666</v>
      </c>
    </row>
    <row r="30" spans="1:14" x14ac:dyDescent="0.3">
      <c r="A30">
        <v>25</v>
      </c>
      <c r="B30">
        <v>20.73</v>
      </c>
      <c r="C30">
        <v>4648</v>
      </c>
      <c r="D30">
        <v>321.89999999999998</v>
      </c>
      <c r="E30">
        <v>0.2225</v>
      </c>
      <c r="F30">
        <v>7.8339999999999996</v>
      </c>
      <c r="G30">
        <v>1.673</v>
      </c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1" t="s">
        <v>14</v>
      </c>
      <c r="B32" s="3" t="s">
        <v>17</v>
      </c>
      <c r="C32" t="s">
        <v>21</v>
      </c>
      <c r="D32" t="s">
        <v>22</v>
      </c>
      <c r="E32" s="2" t="s">
        <v>23</v>
      </c>
      <c r="F32" s="2"/>
      <c r="M32" t="s">
        <v>54</v>
      </c>
      <c r="N32">
        <v>0.19218750000000001</v>
      </c>
    </row>
    <row r="33" spans="1:14" x14ac:dyDescent="0.3">
      <c r="A33">
        <f>AVERAGE(C27,C30)</f>
        <v>4650.8999999999996</v>
      </c>
      <c r="B33">
        <v>0.34002919088387246</v>
      </c>
      <c r="C33">
        <f>A33-N30</f>
        <v>1733.5333333333333</v>
      </c>
      <c r="D33">
        <f>C33^2</f>
        <v>3005137.8177777776</v>
      </c>
      <c r="E33">
        <f>N35*SQRT(N28+N29+(D33/(N27^2*N32)))</f>
        <v>3.6688422331237853E-3</v>
      </c>
      <c r="M33" t="s">
        <v>55</v>
      </c>
      <c r="N33">
        <v>57.935940506987357</v>
      </c>
    </row>
    <row r="34" spans="1:14" x14ac:dyDescent="0.3">
      <c r="M34">
        <v>0</v>
      </c>
      <c r="N34">
        <v>0</v>
      </c>
    </row>
    <row r="35" spans="1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lessThan" id="{19E3277C-82D4-4937-8A53-34FD421D13D4}">
            <xm:f>'CGA Calibration'!$K$22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D14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35"/>
  <sheetViews>
    <sheetView workbookViewId="0">
      <selection activeCell="F14" sqref="E14:F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9</v>
      </c>
      <c r="B3">
        <v>14.491</v>
      </c>
      <c r="C3">
        <v>1059.2</v>
      </c>
      <c r="D3">
        <v>20.9</v>
      </c>
      <c r="E3">
        <v>0.76549999999999996</v>
      </c>
      <c r="F3">
        <v>15.96</v>
      </c>
      <c r="G3">
        <v>1.028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13</v>
      </c>
      <c r="B4">
        <v>24.408999999999999</v>
      </c>
      <c r="C4">
        <f>162+1203.3</f>
        <v>1365.3</v>
      </c>
      <c r="D4">
        <v>57</v>
      </c>
      <c r="E4">
        <v>0.3241</v>
      </c>
      <c r="F4">
        <v>18.13</v>
      </c>
      <c r="G4">
        <v>0.91400000000000003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15</v>
      </c>
      <c r="B5">
        <v>26.896999999999998</v>
      </c>
      <c r="C5">
        <f>174.7+1068.6</f>
        <v>1243.3</v>
      </c>
      <c r="D5">
        <v>63.3</v>
      </c>
      <c r="E5">
        <v>0.25890000000000002</v>
      </c>
      <c r="F5">
        <v>16.100000000000001</v>
      </c>
      <c r="G5">
        <v>0.97899999999999998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10</v>
      </c>
      <c r="B8">
        <v>13.773999999999999</v>
      </c>
      <c r="C8">
        <v>1031.3</v>
      </c>
      <c r="D8">
        <v>19.600000000000001</v>
      </c>
      <c r="E8">
        <v>0.80820000000000003</v>
      </c>
      <c r="F8">
        <v>16.003</v>
      </c>
      <c r="G8">
        <v>1.0269999999999999</v>
      </c>
      <c r="L8" s="5"/>
      <c r="M8" t="s">
        <v>54</v>
      </c>
      <c r="N8">
        <f>'CGA Calibration'!P11</f>
        <v>150585.9375</v>
      </c>
    </row>
    <row r="9" spans="1:14" x14ac:dyDescent="0.3">
      <c r="A9">
        <v>14</v>
      </c>
      <c r="B9">
        <v>24.128</v>
      </c>
      <c r="C9">
        <f>153.5+1213.6</f>
        <v>1367.1</v>
      </c>
      <c r="D9">
        <v>55</v>
      </c>
      <c r="E9">
        <v>0.33739999999999998</v>
      </c>
      <c r="F9">
        <v>18.832000000000001</v>
      </c>
      <c r="G9">
        <v>0.90800000000000003</v>
      </c>
      <c r="L9" s="5"/>
      <c r="M9" t="s">
        <v>55</v>
      </c>
      <c r="N9">
        <f>'CGA Calibration'!P12</f>
        <v>386.37622436100969</v>
      </c>
    </row>
    <row r="10" spans="1:14" x14ac:dyDescent="0.3">
      <c r="A10">
        <v>16</v>
      </c>
      <c r="B10">
        <v>26.681999999999999</v>
      </c>
      <c r="C10">
        <f>163.5+1054.8</f>
        <v>1218.3</v>
      </c>
      <c r="D10">
        <v>62</v>
      </c>
      <c r="E10">
        <v>0.26450000000000001</v>
      </c>
      <c r="F10">
        <v>16.367999999999999</v>
      </c>
      <c r="G10">
        <v>0.96599999999999997</v>
      </c>
      <c r="L10" s="5"/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1366.1999999999998</v>
      </c>
      <c r="B14">
        <f>AVERAGE(C10,C5)</f>
        <v>1230.8</v>
      </c>
      <c r="C14">
        <f>AVERAGE(C3,C8)</f>
        <v>1045.25</v>
      </c>
      <c r="D14">
        <f>A14/'CGA Calibration'!I17</f>
        <v>27.438935632946407</v>
      </c>
      <c r="E14" s="18">
        <f>B14/'CGA Calibration'!I17</f>
        <v>24.719544705775466</v>
      </c>
      <c r="F14" s="18">
        <f>C14/'CGA Calibration'!I17</f>
        <v>20.992934760896823</v>
      </c>
      <c r="I14" s="2">
        <f>(D14*G13*H13)/1000</f>
        <v>2.8810882414593727E-2</v>
      </c>
      <c r="J14" s="2">
        <f>(E14*H13*G13)/1000</f>
        <v>2.5955521941064239E-2</v>
      </c>
      <c r="K14" s="2">
        <f>(F14*H13*G13)/1000</f>
        <v>2.2042581498941664E-2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-7902.9000000000005</v>
      </c>
      <c r="I17">
        <f>H17^2</f>
        <v>62455828.410000011</v>
      </c>
      <c r="J17">
        <f>N11*SQRT(N4+N5+(I17/(N3^2*N8)))</f>
        <v>7.2268311849587725</v>
      </c>
      <c r="K17" s="2">
        <f>J17*G13*H13</f>
        <v>7.5881727442067115</v>
      </c>
      <c r="L17">
        <f>K17/1000</f>
        <v>7.5881727442067117E-3</v>
      </c>
    </row>
    <row r="18" spans="1:14" x14ac:dyDescent="0.3">
      <c r="G18" s="2" t="s">
        <v>19</v>
      </c>
      <c r="H18">
        <f>B14-N6</f>
        <v>-8038.3</v>
      </c>
      <c r="I18">
        <f t="shared" ref="I18:I19" si="0">H18^2</f>
        <v>64614266.890000001</v>
      </c>
      <c r="J18">
        <f>N11*SQRT(N4+N5+(I18/(N3^2*N8)))</f>
        <v>7.2508796890434883</v>
      </c>
      <c r="K18" s="2">
        <f>J18*G13*H13</f>
        <v>7.6134236734956628</v>
      </c>
      <c r="L18">
        <f t="shared" ref="L18:L19" si="1">K18/1000</f>
        <v>7.6134236734956631E-3</v>
      </c>
    </row>
    <row r="19" spans="1:14" x14ac:dyDescent="0.3">
      <c r="G19" s="2" t="s">
        <v>20</v>
      </c>
      <c r="H19">
        <f>C14-N6</f>
        <v>-8223.85</v>
      </c>
      <c r="I19">
        <f t="shared" si="0"/>
        <v>67631708.822500005</v>
      </c>
      <c r="J19">
        <f>N11*SQRT(N4+N5+(I19/(N3^2*N8)))</f>
        <v>7.2843658099562685</v>
      </c>
      <c r="K19" s="2">
        <f>J19*G13*H13</f>
        <v>7.648584100454082</v>
      </c>
      <c r="L19">
        <f t="shared" si="1"/>
        <v>7.6485841004540816E-3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35"/>
  <sheetViews>
    <sheetView workbookViewId="0">
      <selection activeCell="D14" sqref="D14:F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14</v>
      </c>
      <c r="B3">
        <v>13.244</v>
      </c>
      <c r="C3">
        <v>635.79999999999995</v>
      </c>
      <c r="D3">
        <v>12.4</v>
      </c>
      <c r="E3">
        <v>0.75439999999999996</v>
      </c>
      <c r="F3">
        <v>4.3010000000000002</v>
      </c>
      <c r="G3">
        <v>0.99299999999999999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20</v>
      </c>
      <c r="B4">
        <v>23.928999999999998</v>
      </c>
      <c r="C4">
        <f>115.9+1112.7</f>
        <v>1228.6000000000001</v>
      </c>
      <c r="D4">
        <v>48.4</v>
      </c>
      <c r="E4">
        <v>0.35410000000000003</v>
      </c>
      <c r="F4">
        <v>7.5270000000000001</v>
      </c>
      <c r="G4">
        <v>0.86499999999999999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23</v>
      </c>
      <c r="B5">
        <v>26.527000000000001</v>
      </c>
      <c r="C5">
        <v>1056.3</v>
      </c>
      <c r="D5">
        <v>44.9</v>
      </c>
      <c r="E5">
        <v>0.3367</v>
      </c>
      <c r="F5">
        <v>7.1459999999999999</v>
      </c>
      <c r="G5">
        <v>1.4990000000000001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14</v>
      </c>
      <c r="B8">
        <v>13.193</v>
      </c>
      <c r="C8">
        <v>631.29999999999995</v>
      </c>
      <c r="D8">
        <v>12.5</v>
      </c>
      <c r="E8">
        <v>0.73240000000000005</v>
      </c>
      <c r="F8">
        <v>4.4219999999999997</v>
      </c>
      <c r="G8">
        <v>0.97799999999999998</v>
      </c>
      <c r="L8" s="5"/>
      <c r="M8" t="s">
        <v>54</v>
      </c>
      <c r="N8">
        <f>'CGA Calibration'!P11</f>
        <v>150585.9375</v>
      </c>
    </row>
    <row r="9" spans="1:14" x14ac:dyDescent="0.3">
      <c r="A9">
        <v>20</v>
      </c>
      <c r="B9">
        <v>23.858000000000001</v>
      </c>
      <c r="C9">
        <f>115.7+1108.7</f>
        <v>1224.4000000000001</v>
      </c>
      <c r="D9">
        <v>47.8</v>
      </c>
      <c r="E9">
        <v>0.35670000000000002</v>
      </c>
      <c r="F9">
        <v>7.766</v>
      </c>
      <c r="G9">
        <v>0.86499999999999999</v>
      </c>
      <c r="L9" s="5"/>
      <c r="M9" t="s">
        <v>55</v>
      </c>
      <c r="N9">
        <f>'CGA Calibration'!P12</f>
        <v>386.37622436100969</v>
      </c>
    </row>
    <row r="10" spans="1:14" x14ac:dyDescent="0.3">
      <c r="A10">
        <v>23</v>
      </c>
      <c r="B10">
        <v>26.471</v>
      </c>
      <c r="C10">
        <v>954.8</v>
      </c>
      <c r="D10">
        <v>42.4</v>
      </c>
      <c r="E10">
        <v>0.32669999999999999</v>
      </c>
      <c r="F10">
        <v>6.6879999999999997</v>
      </c>
      <c r="G10">
        <v>1.6559999999999999</v>
      </c>
      <c r="L10" s="5"/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1226.5</v>
      </c>
      <c r="B14">
        <f>AVERAGE(C10,C5)</f>
        <v>1005.55</v>
      </c>
      <c r="C14">
        <f>AVERAGE(C3,C8)</f>
        <v>633.54999999999995</v>
      </c>
      <c r="D14" s="18">
        <f>A14/'CGA Calibration'!I17</f>
        <v>24.633182955503422</v>
      </c>
      <c r="E14" s="18">
        <f>B14/'CGA Calibration'!I17</f>
        <v>20.195594880478161</v>
      </c>
      <c r="F14" s="18">
        <f>C14/'CGA Calibration'!I17</f>
        <v>12.724299275547649</v>
      </c>
      <c r="I14" s="2">
        <f>(D14*G13*H13)/1000</f>
        <v>2.5864842103278593E-2</v>
      </c>
      <c r="J14" s="2">
        <f>(E14*H13*G13)/1000</f>
        <v>2.1205374624502071E-2</v>
      </c>
      <c r="K14" s="2">
        <f>(F14*H13*G13)/1000</f>
        <v>1.3360514239325031E-2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-8042.6</v>
      </c>
      <c r="I17">
        <f>H17^2</f>
        <v>64683414.760000005</v>
      </c>
      <c r="J17">
        <f>N11*SQRT(N4+N5+(I17/(N3^2*N8)))</f>
        <v>7.2516487900345439</v>
      </c>
      <c r="K17" s="2">
        <f>J17*G13*H13</f>
        <v>7.6142312295362711</v>
      </c>
      <c r="L17">
        <f>K17/1000</f>
        <v>7.614231229536271E-3</v>
      </c>
    </row>
    <row r="18" spans="1:14" x14ac:dyDescent="0.3">
      <c r="G18" s="2" t="s">
        <v>19</v>
      </c>
      <c r="H18">
        <f>B14-N6</f>
        <v>-8263.5500000000011</v>
      </c>
      <c r="I18">
        <f t="shared" ref="I18:I19" si="0">H18^2</f>
        <v>68286258.602500021</v>
      </c>
      <c r="J18">
        <f>N11*SQRT(N4+N5+(I18/(N3^2*N8)))</f>
        <v>7.2916093914682767</v>
      </c>
      <c r="K18" s="2">
        <f>J18*G13*H13</f>
        <v>7.6561898610416907</v>
      </c>
      <c r="L18">
        <f t="shared" ref="L18:L19" si="1">K18/1000</f>
        <v>7.6561898610416909E-3</v>
      </c>
    </row>
    <row r="19" spans="1:14" x14ac:dyDescent="0.3">
      <c r="G19" s="2" t="s">
        <v>20</v>
      </c>
      <c r="H19">
        <f>C14-N6</f>
        <v>-8635.5500000000011</v>
      </c>
      <c r="I19">
        <f t="shared" si="0"/>
        <v>74572723.802500024</v>
      </c>
      <c r="J19">
        <f>N11*SQRT(N4+N5+(I19/(N3^2*N8)))</f>
        <v>7.3608156385470123</v>
      </c>
      <c r="K19" s="2">
        <f>J19*G13*H13</f>
        <v>7.7288564204743633</v>
      </c>
      <c r="L19">
        <f t="shared" si="1"/>
        <v>7.7288564204743629E-3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N35"/>
  <sheetViews>
    <sheetView workbookViewId="0">
      <selection activeCell="F14" sqref="F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12</v>
      </c>
      <c r="B3">
        <v>13.15</v>
      </c>
      <c r="C3">
        <v>1082.4000000000001</v>
      </c>
      <c r="D3">
        <v>19.8</v>
      </c>
      <c r="E3">
        <v>0.79849999999999999</v>
      </c>
      <c r="F3">
        <v>11.037000000000001</v>
      </c>
      <c r="G3">
        <v>0.999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17</v>
      </c>
      <c r="B4">
        <v>23.709</v>
      </c>
      <c r="C4">
        <f>158.7+1486.4</f>
        <v>1645.1000000000001</v>
      </c>
      <c r="D4">
        <v>65.2</v>
      </c>
      <c r="E4">
        <v>0.34989999999999999</v>
      </c>
      <c r="F4">
        <v>15.157</v>
      </c>
      <c r="G4">
        <v>0.90700000000000003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20</v>
      </c>
      <c r="B5">
        <v>26.306000000000001</v>
      </c>
      <c r="C5">
        <f>183.3+1259.1</f>
        <v>1442.3999999999999</v>
      </c>
      <c r="D5">
        <v>68.2</v>
      </c>
      <c r="E5">
        <v>0.28120000000000001</v>
      </c>
      <c r="F5">
        <v>12.839</v>
      </c>
      <c r="G5">
        <v>1.0620000000000001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12</v>
      </c>
      <c r="B8">
        <v>12.91</v>
      </c>
      <c r="C8">
        <v>1040.4000000000001</v>
      </c>
      <c r="D8">
        <v>19.100000000000001</v>
      </c>
      <c r="E8">
        <v>0.81200000000000006</v>
      </c>
      <c r="F8">
        <v>10.808999999999999</v>
      </c>
      <c r="G8">
        <v>1.02</v>
      </c>
      <c r="L8" s="5"/>
      <c r="M8" t="s">
        <v>54</v>
      </c>
      <c r="N8">
        <f>'CGA Calibration'!P11</f>
        <v>150585.9375</v>
      </c>
    </row>
    <row r="9" spans="1:14" x14ac:dyDescent="0.3">
      <c r="A9">
        <v>17</v>
      </c>
      <c r="B9">
        <v>23.553999999999998</v>
      </c>
      <c r="C9">
        <f>160.9+1468.1</f>
        <v>1629</v>
      </c>
      <c r="D9">
        <v>63.3</v>
      </c>
      <c r="E9">
        <v>0.35649999999999998</v>
      </c>
      <c r="F9">
        <v>15.252000000000001</v>
      </c>
      <c r="G9">
        <v>0.90500000000000003</v>
      </c>
      <c r="L9" s="5"/>
      <c r="M9" t="s">
        <v>55</v>
      </c>
      <c r="N9">
        <f>'CGA Calibration'!P12</f>
        <v>386.37622436100969</v>
      </c>
    </row>
    <row r="10" spans="1:14" x14ac:dyDescent="0.3">
      <c r="A10">
        <v>20</v>
      </c>
      <c r="B10">
        <v>26.173999999999999</v>
      </c>
      <c r="C10">
        <f>180.1+1242.4</f>
        <v>1422.5</v>
      </c>
      <c r="D10">
        <v>67.7</v>
      </c>
      <c r="E10">
        <v>0.28000000000000003</v>
      </c>
      <c r="F10">
        <v>12.907</v>
      </c>
      <c r="G10">
        <v>1.0580000000000001</v>
      </c>
      <c r="L10" s="5"/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1637.0500000000002</v>
      </c>
      <c r="B14">
        <f>AVERAGE(C10,C5)</f>
        <v>1432.4499999999998</v>
      </c>
      <c r="C14">
        <f>AVERAGE(C3,C8)</f>
        <v>1061.4000000000001</v>
      </c>
      <c r="D14">
        <f>A14/'CGA Calibration'!I17</f>
        <v>32.878721693686821</v>
      </c>
      <c r="E14">
        <f>B14/'CGA Calibration'!I17</f>
        <v>28.769509110975029</v>
      </c>
      <c r="F14" s="18">
        <f>C14/'CGA Calibration'!I17</f>
        <v>21.317293427616253</v>
      </c>
      <c r="I14" s="2">
        <f>(D14*G13*H13)/1000</f>
        <v>3.4522657778371164E-2</v>
      </c>
      <c r="J14" s="2">
        <f>(E14*H13*G13)/1000</f>
        <v>3.020798456652378E-2</v>
      </c>
      <c r="K14" s="2">
        <f>(F14*H13*G13)/1000</f>
        <v>2.2383158098997068E-2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-7632.05</v>
      </c>
      <c r="I17">
        <f>H17^2</f>
        <v>58248187.202500001</v>
      </c>
      <c r="J17">
        <f>N11*SQRT(N4+N5+(I17/(N3^2*N8)))</f>
        <v>7.179719680426043</v>
      </c>
      <c r="K17" s="2">
        <f>J17*G13*H13</f>
        <v>7.5387056644473454</v>
      </c>
      <c r="L17">
        <f>K17/1000</f>
        <v>7.5387056644473449E-3</v>
      </c>
    </row>
    <row r="18" spans="1:14" x14ac:dyDescent="0.3">
      <c r="G18" s="2" t="s">
        <v>19</v>
      </c>
      <c r="H18">
        <f>B14-N6</f>
        <v>-7836.6500000000005</v>
      </c>
      <c r="I18">
        <f t="shared" ref="I18:I19" si="0">H18^2</f>
        <v>61413083.222500011</v>
      </c>
      <c r="J18">
        <f>N11*SQRT(N4+N5+(I18/(N3^2*N8)))</f>
        <v>7.2151845980986087</v>
      </c>
      <c r="K18" s="2">
        <f>J18*G13*H13</f>
        <v>7.5759438280035392</v>
      </c>
      <c r="L18">
        <f t="shared" ref="L18:L19" si="1">K18/1000</f>
        <v>7.5759438280035389E-3</v>
      </c>
    </row>
    <row r="19" spans="1:14" x14ac:dyDescent="0.3">
      <c r="G19" s="2" t="s">
        <v>20</v>
      </c>
      <c r="H19">
        <f>C14-N6</f>
        <v>-8207.7000000000007</v>
      </c>
      <c r="I19">
        <f t="shared" si="0"/>
        <v>67366339.290000007</v>
      </c>
      <c r="J19">
        <f>N11*SQRT(N4+N5+(I19/(N3^2*N8)))</f>
        <v>7.2814270425048617</v>
      </c>
      <c r="K19" s="2">
        <f>J19*G13*H13</f>
        <v>7.6454983946301054</v>
      </c>
      <c r="L19">
        <f t="shared" si="1"/>
        <v>7.6454983946301052E-3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31"/>
  <sheetViews>
    <sheetView tabSelected="1" zoomScale="35" zoomScaleNormal="35" workbookViewId="0">
      <selection activeCell="K5" sqref="K5"/>
    </sheetView>
  </sheetViews>
  <sheetFormatPr defaultRowHeight="14.4" x14ac:dyDescent="0.3"/>
  <cols>
    <col min="1" max="1" width="15" customWidth="1"/>
    <col min="2" max="3" width="9" bestFit="1" customWidth="1"/>
    <col min="4" max="10" width="12" bestFit="1" customWidth="1"/>
    <col min="11" max="11" width="49" bestFit="1" customWidth="1"/>
    <col min="12" max="12" width="22.33203125" customWidth="1"/>
    <col min="13" max="13" width="12" customWidth="1"/>
    <col min="14" max="14" width="12.33203125" customWidth="1"/>
    <col min="15" max="15" width="12" bestFit="1" customWidth="1"/>
    <col min="16" max="16" width="11.88671875" customWidth="1"/>
    <col min="17" max="17" width="12.6640625" customWidth="1"/>
    <col min="18" max="18" width="24.109375" customWidth="1"/>
    <col min="19" max="19" width="21.21875" bestFit="1" customWidth="1"/>
    <col min="20" max="20" width="19" customWidth="1"/>
    <col min="21" max="21" width="8.33203125" customWidth="1"/>
  </cols>
  <sheetData>
    <row r="1" spans="1:21" x14ac:dyDescent="0.3">
      <c r="D1" s="15" t="s">
        <v>27</v>
      </c>
      <c r="E1" s="15"/>
      <c r="F1" s="15"/>
      <c r="G1" s="15"/>
      <c r="H1" s="15" t="s">
        <v>28</v>
      </c>
      <c r="I1" s="15"/>
      <c r="J1" s="15"/>
      <c r="K1" s="15"/>
      <c r="L1" s="17" t="s">
        <v>68</v>
      </c>
      <c r="M1" s="17"/>
      <c r="N1" s="17"/>
      <c r="O1" s="17"/>
      <c r="P1" s="17" t="s">
        <v>70</v>
      </c>
      <c r="Q1" s="17"/>
      <c r="R1" s="17"/>
      <c r="S1" s="17"/>
      <c r="U1" t="s">
        <v>71</v>
      </c>
    </row>
    <row r="2" spans="1:21" x14ac:dyDescent="0.3">
      <c r="A2" t="s">
        <v>66</v>
      </c>
      <c r="B2" s="4" t="s">
        <v>29</v>
      </c>
      <c r="C2" s="4" t="s">
        <v>30</v>
      </c>
      <c r="D2" t="s">
        <v>18</v>
      </c>
      <c r="E2" t="s">
        <v>19</v>
      </c>
      <c r="F2" t="s">
        <v>20</v>
      </c>
      <c r="G2" t="s">
        <v>31</v>
      </c>
      <c r="H2" t="s">
        <v>18</v>
      </c>
      <c r="I2" t="s">
        <v>19</v>
      </c>
      <c r="J2" t="s">
        <v>20</v>
      </c>
      <c r="K2" t="s">
        <v>73</v>
      </c>
      <c r="L2" s="9" t="s">
        <v>18</v>
      </c>
      <c r="M2" s="9" t="s">
        <v>19</v>
      </c>
      <c r="N2" s="9" t="s">
        <v>20</v>
      </c>
      <c r="O2" s="9" t="s">
        <v>31</v>
      </c>
      <c r="P2" s="9" t="s">
        <v>18</v>
      </c>
      <c r="Q2" s="9" t="s">
        <v>19</v>
      </c>
      <c r="R2" s="9" t="s">
        <v>20</v>
      </c>
      <c r="S2" s="9" t="s">
        <v>31</v>
      </c>
      <c r="T2" t="s">
        <v>93</v>
      </c>
    </row>
    <row r="3" spans="1:21" x14ac:dyDescent="0.3">
      <c r="A3" s="12" t="s">
        <v>72</v>
      </c>
      <c r="B3" s="19">
        <v>5.0369999999999999</v>
      </c>
      <c r="C3" s="19">
        <v>127.379</v>
      </c>
      <c r="D3" s="19">
        <f>'1_jmswe619'!I14</f>
        <v>2.548630650135943E-2</v>
      </c>
      <c r="E3" s="19">
        <f>'1_jmswe619'!J14</f>
        <v>2.8547278234984295E-2</v>
      </c>
      <c r="F3" s="19">
        <f>'1_jmswe619'!K14</f>
        <v>2.0797315354466654E-2</v>
      </c>
      <c r="G3" s="19">
        <f>SUM(D3:F3)</f>
        <v>7.4830900090810379E-2</v>
      </c>
      <c r="H3" s="19">
        <f>(D3*C3)/B3</f>
        <v>0.64451463883991722</v>
      </c>
      <c r="I3" s="19">
        <f>(E3*C3)/B3</f>
        <v>0.72192252417988179</v>
      </c>
      <c r="J3" s="19">
        <f>(F3*C3)/B3</f>
        <v>0.52593631775592775</v>
      </c>
      <c r="K3">
        <v>2.3505560048625602</v>
      </c>
      <c r="L3" s="19">
        <f>'1_jmswe619'!$L$17</f>
        <v>7.6176060439025993E-3</v>
      </c>
      <c r="M3" s="19">
        <f>'1_jmswe619'!$L$18</f>
        <v>7.5904894090900827E-3</v>
      </c>
      <c r="N3" s="19">
        <f>'1_jmswe619'!$L$19</f>
        <v>7.6599074774144869E-3</v>
      </c>
      <c r="O3" s="19">
        <f>SUM(L3:N3)</f>
        <v>2.286800293040717E-2</v>
      </c>
      <c r="P3" s="19">
        <f>(L3*C3)/B3</f>
        <v>0.19263907886961867</v>
      </c>
      <c r="Q3" s="19">
        <f>(M3*C3)/B3</f>
        <v>0.19195333540609205</v>
      </c>
      <c r="R3" s="19">
        <f>(N3*C3)/B3</f>
        <v>0.19370882560364899</v>
      </c>
      <c r="S3" s="19">
        <v>0.62039504358671849</v>
      </c>
      <c r="T3">
        <v>17</v>
      </c>
    </row>
    <row r="4" spans="1:21" x14ac:dyDescent="0.3">
      <c r="A4" s="12" t="s">
        <v>74</v>
      </c>
      <c r="B4" s="12">
        <v>5.0069999999999997</v>
      </c>
      <c r="C4" s="12">
        <v>50.088000000000001</v>
      </c>
      <c r="D4" s="12">
        <f>'2_jmswe619'!I14</f>
        <v>9.0083037923012796E-2</v>
      </c>
      <c r="E4" s="12">
        <f>'2_jmswe619'!J14</f>
        <v>7.2952983915272704E-2</v>
      </c>
      <c r="F4" s="12">
        <f>'2_jmswe619'!K14</f>
        <v>6.0801885651995798E-2</v>
      </c>
      <c r="G4" s="12">
        <f t="shared" ref="G4:G6" si="0">SUM(D4:F4)</f>
        <v>0.22383790749028129</v>
      </c>
      <c r="H4" s="12">
        <f>(D4*C4)/B4</f>
        <v>0.90115422478287699</v>
      </c>
      <c r="I4" s="12">
        <f t="shared" ref="I4:I7" si="1">(E4*C4)/B4</f>
        <v>0.72979210272581974</v>
      </c>
      <c r="J4" s="12">
        <f t="shared" ref="J4:J7" si="2">(F4*C4)/B4</f>
        <v>0.60823743729521984</v>
      </c>
      <c r="K4" s="19">
        <v>2.84617107204196</v>
      </c>
      <c r="L4" s="12">
        <f>'2_jmswe619'!$L$17</f>
        <v>7.1354493714339169E-3</v>
      </c>
      <c r="M4" s="12">
        <f>'2_jmswe619'!$L$18</f>
        <v>7.2440193301610391E-3</v>
      </c>
      <c r="N4" s="12">
        <f>'2_jmswe619'!$L$19</f>
        <v>7.329768686079703E-3</v>
      </c>
      <c r="O4" s="12">
        <f t="shared" ref="O4:O22" si="3">SUM(L4:N4)</f>
        <v>2.1709237387674659E-2</v>
      </c>
      <c r="P4" s="12">
        <f t="shared" ref="P4:P22" si="4">(L4*C4)/B4</f>
        <v>7.1380145419688845E-2</v>
      </c>
      <c r="Q4" s="12">
        <f t="shared" ref="Q4:Q22" si="5">(M4*C4)/B4</f>
        <v>7.24662353123839E-2</v>
      </c>
      <c r="R4" s="12">
        <f t="shared" ref="R4:R22" si="6">(N4*C4)/B4</f>
        <v>7.3324037137679293E-2</v>
      </c>
      <c r="S4" s="19">
        <v>0.23297797336239018</v>
      </c>
      <c r="T4">
        <v>8</v>
      </c>
    </row>
    <row r="5" spans="1:21" x14ac:dyDescent="0.3">
      <c r="A5" s="12" t="s">
        <v>75</v>
      </c>
      <c r="B5" s="12">
        <v>5.0359999999999996</v>
      </c>
      <c r="C5" s="12">
        <v>87.277000000000001</v>
      </c>
      <c r="D5" s="12">
        <f>'3_jmswe619'!I14</f>
        <v>5.1321624936521773E-2</v>
      </c>
      <c r="E5" s="12">
        <f>'3_jmswe619'!J14</f>
        <v>4.183082005386337E-2</v>
      </c>
      <c r="F5" s="12">
        <f>'3_jmswe619'!K14</f>
        <v>3.5612924665235815E-2</v>
      </c>
      <c r="G5" s="12">
        <f t="shared" si="0"/>
        <v>0.12876536965562096</v>
      </c>
      <c r="H5" s="12">
        <f t="shared" ref="H5:H7" si="7">(D5*C5)/B5</f>
        <v>0.88943555591437884</v>
      </c>
      <c r="I5" s="12">
        <f t="shared" si="1"/>
        <v>0.72495402737113457</v>
      </c>
      <c r="J5" s="12">
        <f t="shared" si="2"/>
        <v>0.61719404805555722</v>
      </c>
      <c r="K5">
        <v>2.4725519060000001</v>
      </c>
      <c r="L5" s="12">
        <f>'3_jmswe619'!$L$17</f>
        <v>7.401521659718531E-3</v>
      </c>
      <c r="M5" s="12">
        <f>'3_jmswe619'!$L$18</f>
        <v>7.4774804022608686E-3</v>
      </c>
      <c r="N5" s="12">
        <f>'3_jmswe619'!$L$19</f>
        <v>7.5294233593619945E-3</v>
      </c>
      <c r="O5" s="12">
        <f t="shared" si="3"/>
        <v>2.2408425421341395E-2</v>
      </c>
      <c r="P5" s="12">
        <f t="shared" si="4"/>
        <v>0.12827295589659538</v>
      </c>
      <c r="Q5" s="12">
        <f t="shared" si="5"/>
        <v>0.12958936796428155</v>
      </c>
      <c r="R5" s="12">
        <f t="shared" si="6"/>
        <v>0.13048957159154823</v>
      </c>
      <c r="S5" s="19">
        <v>0.41661953060389972</v>
      </c>
      <c r="T5">
        <v>2</v>
      </c>
    </row>
    <row r="6" spans="1:21" x14ac:dyDescent="0.3">
      <c r="A6" s="12" t="s">
        <v>76</v>
      </c>
      <c r="B6" s="12">
        <v>5.0149999999999997</v>
      </c>
      <c r="C6" s="12">
        <v>87.522999999999996</v>
      </c>
      <c r="D6" s="12">
        <f>'4_jmswe619'!I14</f>
        <v>4.4093598331630839E-2</v>
      </c>
      <c r="E6" s="12">
        <f>'4_jmswe619'!J14</f>
        <v>4.7842049765677117E-2</v>
      </c>
      <c r="F6" s="12">
        <f>'4_jmswe619'!K14</f>
        <v>3.5776359256593671E-2</v>
      </c>
      <c r="G6" s="12">
        <f t="shared" si="0"/>
        <v>0.12771200735390162</v>
      </c>
      <c r="H6" s="12">
        <f t="shared" si="7"/>
        <v>0.7695322047416403</v>
      </c>
      <c r="I6" s="12">
        <f t="shared" si="1"/>
        <v>0.83495109105510645</v>
      </c>
      <c r="J6" s="12">
        <f t="shared" si="2"/>
        <v>0.62437772506776623</v>
      </c>
      <c r="K6">
        <v>2.94840507045364</v>
      </c>
      <c r="L6" s="12">
        <f>'4_jmswe619'!$L$17</f>
        <v>7.4590022867939334E-3</v>
      </c>
      <c r="M6" s="12">
        <f>'4_jmswe619'!$L$18</f>
        <v>7.4288973341232129E-3</v>
      </c>
      <c r="N6" s="12">
        <f>'4_jmswe619'!$L$19</f>
        <v>7.5280363669928347E-3</v>
      </c>
      <c r="O6" s="12">
        <f t="shared" si="3"/>
        <v>2.2415935987909981E-2</v>
      </c>
      <c r="P6" s="12">
        <f t="shared" si="4"/>
        <v>0.13017632246202701</v>
      </c>
      <c r="Q6" s="12">
        <f t="shared" si="5"/>
        <v>0.12965092350438007</v>
      </c>
      <c r="R6" s="12">
        <f t="shared" si="6"/>
        <v>0.13138112202359201</v>
      </c>
      <c r="S6" s="19">
        <v>0.41968392210481043</v>
      </c>
      <c r="T6">
        <v>4</v>
      </c>
    </row>
    <row r="7" spans="1:21" x14ac:dyDescent="0.3">
      <c r="A7" s="12" t="s">
        <v>77</v>
      </c>
      <c r="B7" s="12">
        <v>5.0010000000000003</v>
      </c>
      <c r="C7" s="12">
        <v>49.604999999999997</v>
      </c>
      <c r="D7" s="12">
        <f>'6_jmswe619'!I14</f>
        <v>5.7974994429864125E-2</v>
      </c>
      <c r="E7" s="12">
        <f>'6_jmswe619'!J14</f>
        <v>4.9345648006169383E-2</v>
      </c>
      <c r="F7" s="12">
        <f>'6_jmswe619'!K14</f>
        <v>4.2839896853408319E-2</v>
      </c>
      <c r="G7" s="12">
        <f>SUM(D7:F7)</f>
        <v>0.15016053928944184</v>
      </c>
      <c r="H7" s="12">
        <f t="shared" si="7"/>
        <v>0.57505490875693055</v>
      </c>
      <c r="I7" s="12">
        <f t="shared" si="1"/>
        <v>0.48946028181284379</v>
      </c>
      <c r="J7" s="12">
        <f t="shared" si="2"/>
        <v>0.42492963075651252</v>
      </c>
      <c r="K7">
        <v>2.1031413660612079</v>
      </c>
      <c r="L7" s="12">
        <f>'2_jmswe619'!$L$17</f>
        <v>7.1354493714339169E-3</v>
      </c>
      <c r="M7" s="12">
        <f>'2_jmswe619'!$L$18</f>
        <v>7.2440193301610391E-3</v>
      </c>
      <c r="N7" s="12">
        <f>'2_jmswe619'!$L$19</f>
        <v>7.329768686079703E-3</v>
      </c>
      <c r="O7" s="12">
        <f t="shared" si="3"/>
        <v>2.1709237387674659E-2</v>
      </c>
      <c r="P7" s="12">
        <f t="shared" si="4"/>
        <v>7.0776637886418595E-2</v>
      </c>
      <c r="Q7" s="12">
        <f t="shared" si="5"/>
        <v>7.1853545065514557E-2</v>
      </c>
      <c r="R7" s="12">
        <f t="shared" si="6"/>
        <v>7.2704094315733575E-2</v>
      </c>
      <c r="S7" s="19">
        <v>0.23100818244667351</v>
      </c>
      <c r="T7">
        <v>18</v>
      </c>
    </row>
    <row r="8" spans="1:21" x14ac:dyDescent="0.3">
      <c r="A8" s="12" t="s">
        <v>78</v>
      </c>
      <c r="B8" s="12">
        <v>5.0199999999999996</v>
      </c>
      <c r="C8" s="12">
        <v>50.118000000000002</v>
      </c>
      <c r="D8" s="12">
        <f>'7_jmswe619 '!I14</f>
        <v>7.3621484114762242E-2</v>
      </c>
      <c r="E8" s="12">
        <f>'7_jmswe619 '!J14</f>
        <v>6.1209944922031218E-2</v>
      </c>
      <c r="F8" s="12">
        <f>'7_jmswe619 '!K14</f>
        <v>4.5386313228435539E-2</v>
      </c>
      <c r="G8" s="12">
        <f t="shared" ref="G8:G22" si="8">SUM(D8:F8)</f>
        <v>0.18021774226522899</v>
      </c>
      <c r="H8" s="12">
        <f t="shared" ref="H8:H22" si="9">(D8*C8)/B8</f>
        <v>0.73501225913618617</v>
      </c>
      <c r="I8" s="12">
        <f t="shared" ref="I8:I22" si="10">(E8*C8)/B8</f>
        <v>0.6110996054984783</v>
      </c>
      <c r="J8" s="12">
        <f t="shared" ref="J8:J22" si="11">(F8*C8)/B8</f>
        <v>0.453121762227636</v>
      </c>
      <c r="K8">
        <v>2.0469318736986799</v>
      </c>
      <c r="L8" s="12">
        <f>'6_jmswe619'!$L$17</f>
        <v>7.3507261933187908E-3</v>
      </c>
      <c r="M8" s="12">
        <f>'6_jmswe619'!$L$18</f>
        <v>7.4170000286976493E-3</v>
      </c>
      <c r="N8" s="12">
        <f>'6_jmswe619'!$L$19</f>
        <v>7.4692119436091612E-3</v>
      </c>
      <c r="O8" s="12">
        <f t="shared" si="3"/>
        <v>2.2236938165625601E-2</v>
      </c>
      <c r="P8" s="12">
        <f t="shared" si="4"/>
        <v>7.3387190310109804E-2</v>
      </c>
      <c r="Q8" s="12">
        <f t="shared" si="5"/>
        <v>7.4048846103240806E-2</v>
      </c>
      <c r="R8" s="12">
        <f t="shared" si="6"/>
        <v>7.4570112388407175E-2</v>
      </c>
      <c r="S8" s="19">
        <v>0.23816569093145715</v>
      </c>
      <c r="T8">
        <v>14</v>
      </c>
    </row>
    <row r="9" spans="1:21" x14ac:dyDescent="0.3">
      <c r="A9" s="12" t="s">
        <v>79</v>
      </c>
      <c r="B9" s="19">
        <v>5.0369999999999999</v>
      </c>
      <c r="C9" s="19">
        <v>125.05</v>
      </c>
      <c r="D9" s="19">
        <f>'8_jmswe619  '!I14</f>
        <v>3.0582302501569195E-2</v>
      </c>
      <c r="E9" s="19">
        <f>'8_jmswe619  '!J14</f>
        <v>2.8162416132754504E-2</v>
      </c>
      <c r="F9" s="19">
        <f>'8_jmswe619  '!K14</f>
        <v>2.1840133489001615E-2</v>
      </c>
      <c r="G9" s="19">
        <f t="shared" si="8"/>
        <v>8.0584852123325307E-2</v>
      </c>
      <c r="H9" s="19">
        <f t="shared" si="9"/>
        <v>0.75924497276577885</v>
      </c>
      <c r="I9" s="19">
        <f t="shared" si="10"/>
        <v>0.69916818292653382</v>
      </c>
      <c r="J9" s="19">
        <f t="shared" si="11"/>
        <v>0.54220938908073291</v>
      </c>
      <c r="K9">
        <v>2.2084860860422544</v>
      </c>
      <c r="L9" s="19">
        <f>'7_jmswe619 '!$L$17</f>
        <v>7.2395089928583003E-3</v>
      </c>
      <c r="M9" s="19">
        <f>'7_jmswe619 '!$L$18</f>
        <v>7.3267745610333503E-3</v>
      </c>
      <c r="N9" s="19">
        <f>'7_jmswe619 '!$L$19</f>
        <v>7.4485486294554298E-3</v>
      </c>
      <c r="O9" s="19">
        <f t="shared" si="3"/>
        <v>2.2014832183347079E-2</v>
      </c>
      <c r="P9" s="19">
        <f t="shared" si="4"/>
        <v>0.17973011704525124</v>
      </c>
      <c r="Q9" s="19">
        <f t="shared" si="5"/>
        <v>0.18189659695398461</v>
      </c>
      <c r="R9" s="19">
        <f t="shared" si="6"/>
        <v>0.18491979474159254</v>
      </c>
      <c r="S9" s="19">
        <v>0.58632892639685497</v>
      </c>
      <c r="T9">
        <v>1</v>
      </c>
    </row>
    <row r="10" spans="1:21" x14ac:dyDescent="0.3">
      <c r="A10" s="12" t="s">
        <v>80</v>
      </c>
      <c r="B10" s="12">
        <v>5.0449999999999999</v>
      </c>
      <c r="C10" s="12">
        <v>50.542000000000002</v>
      </c>
      <c r="D10" s="12">
        <f>'9_jmswe619 '!I14</f>
        <v>5.904522739907847E-2</v>
      </c>
      <c r="E10" s="12">
        <f>'9_jmswe619 '!J14</f>
        <v>5.1759207874673453E-2</v>
      </c>
      <c r="F10" s="12">
        <f>'9_jmswe619 '!K14</f>
        <v>4.3115099616920574E-2</v>
      </c>
      <c r="G10" s="12">
        <f t="shared" si="8"/>
        <v>0.1539195348906725</v>
      </c>
      <c r="H10" s="12">
        <f t="shared" si="9"/>
        <v>0.59152901550133286</v>
      </c>
      <c r="I10" s="12">
        <f t="shared" si="10"/>
        <v>0.51853595330064339</v>
      </c>
      <c r="J10" s="12">
        <f t="shared" si="11"/>
        <v>0.43193723782723481</v>
      </c>
      <c r="K10">
        <v>1.9709618521300425</v>
      </c>
      <c r="L10" s="12">
        <f>'8_jmswe619  '!$L$17</f>
        <v>7.5726815546381856E-3</v>
      </c>
      <c r="M10" s="12">
        <f>'8_jmswe619  '!$L$18</f>
        <v>7.5938770417977187E-3</v>
      </c>
      <c r="N10" s="12">
        <f>'8_jmswe619  '!$L$19</f>
        <v>7.6504206114368731E-3</v>
      </c>
      <c r="O10" s="12">
        <f t="shared" si="3"/>
        <v>2.2816979207872776E-2</v>
      </c>
      <c r="P10" s="12">
        <f t="shared" si="4"/>
        <v>7.5864910036575459E-2</v>
      </c>
      <c r="Q10" s="12">
        <f t="shared" si="5"/>
        <v>7.607725142646983E-2</v>
      </c>
      <c r="R10" s="12">
        <f t="shared" si="6"/>
        <v>7.6643718244448461E-2</v>
      </c>
      <c r="S10" s="19">
        <v>0.24522435199001635</v>
      </c>
      <c r="T10">
        <v>11</v>
      </c>
    </row>
    <row r="11" spans="1:21" x14ac:dyDescent="0.3">
      <c r="A11" s="12" t="s">
        <v>81</v>
      </c>
      <c r="B11" s="12">
        <v>5.0380000000000003</v>
      </c>
      <c r="C11" s="12">
        <v>88.415000000000006</v>
      </c>
      <c r="D11" s="12">
        <f>'10_jmswe619    '!I14</f>
        <v>4.9731564525117608E-2</v>
      </c>
      <c r="E11" s="12">
        <f>'10_jmswe619    '!J14</f>
        <v>4.0627730578125867E-2</v>
      </c>
      <c r="F11" s="12">
        <f>'10_jmswe619    '!K14</f>
        <v>3.3615859400514668E-2</v>
      </c>
      <c r="G11" s="12">
        <f t="shared" si="8"/>
        <v>0.12397515450375815</v>
      </c>
      <c r="H11" s="12">
        <f t="shared" si="9"/>
        <v>0.87277020196273791</v>
      </c>
      <c r="I11" s="12">
        <f t="shared" si="10"/>
        <v>0.71300134955637129</v>
      </c>
      <c r="J11" s="12">
        <f t="shared" si="11"/>
        <v>0.58994565480279959</v>
      </c>
      <c r="K11">
        <v>3.0644239640000865</v>
      </c>
      <c r="L11" s="12">
        <f>'9_jmswe619 '!$L$17</f>
        <v>7.3427477313106381E-3</v>
      </c>
      <c r="M11" s="12">
        <f>'9_jmswe619 '!$L$18</f>
        <v>7.3981181165026812E-3</v>
      </c>
      <c r="N11" s="12">
        <f>'9_jmswe619 '!$L$19</f>
        <v>7.4669647845083068E-3</v>
      </c>
      <c r="O11" s="12">
        <f t="shared" si="3"/>
        <v>2.2207830632321623E-2</v>
      </c>
      <c r="P11" s="12">
        <f t="shared" si="4"/>
        <v>0.12886245348627037</v>
      </c>
      <c r="Q11" s="12">
        <f t="shared" si="5"/>
        <v>0.12983418286434786</v>
      </c>
      <c r="R11" s="12">
        <f t="shared" si="6"/>
        <v>0.13104241592344221</v>
      </c>
      <c r="S11" s="19">
        <v>0.41810765678706263</v>
      </c>
      <c r="T11">
        <v>13</v>
      </c>
    </row>
    <row r="12" spans="1:21" x14ac:dyDescent="0.3">
      <c r="A12" s="12" t="s">
        <v>82</v>
      </c>
      <c r="B12" s="19">
        <v>5.0039999999999996</v>
      </c>
      <c r="C12" s="19">
        <v>126.12400000000001</v>
      </c>
      <c r="D12" s="19">
        <f>'11_jmswe619    '!I14</f>
        <v>4.2524626254595424E-2</v>
      </c>
      <c r="E12" s="19">
        <f>'11_jmswe619    '!J14</f>
        <v>3.5303980566733541E-2</v>
      </c>
      <c r="F12" s="19">
        <f>'11_jmswe619    '!K14</f>
        <v>2.6744225646455701E-2</v>
      </c>
      <c r="G12" s="19">
        <f t="shared" si="8"/>
        <v>0.10457283246778468</v>
      </c>
      <c r="H12" s="19">
        <f t="shared" si="9"/>
        <v>1.0718177381563938</v>
      </c>
      <c r="I12" s="19">
        <f t="shared" si="10"/>
        <v>0.88982398980789401</v>
      </c>
      <c r="J12" s="19">
        <f t="shared" si="11"/>
        <v>0.67407848030247386</v>
      </c>
      <c r="K12">
        <v>3.3244655136117327</v>
      </c>
      <c r="L12" s="19">
        <f>'10_jmswe619    '!$L$17</f>
        <v>7.4139630292286542E-3</v>
      </c>
      <c r="M12" s="19">
        <f>'10_jmswe619    '!$L$18</f>
        <v>7.4873977556504257E-3</v>
      </c>
      <c r="N12" s="19">
        <f>'10_jmswe619    '!$L$19</f>
        <v>7.5464652411319812E-3</v>
      </c>
      <c r="O12" s="19">
        <f t="shared" si="3"/>
        <v>2.2447826026011062E-2</v>
      </c>
      <c r="P12" s="19">
        <f t="shared" si="4"/>
        <v>0.18686624162638588</v>
      </c>
      <c r="Q12" s="19">
        <f t="shared" si="5"/>
        <v>0.18871713719697331</v>
      </c>
      <c r="R12" s="19">
        <f t="shared" si="6"/>
        <v>0.19020591168515791</v>
      </c>
      <c r="S12" s="19">
        <v>0.60697236550825195</v>
      </c>
      <c r="T12">
        <v>12</v>
      </c>
    </row>
    <row r="13" spans="1:21" x14ac:dyDescent="0.3">
      <c r="A13" s="12" t="s">
        <v>83</v>
      </c>
      <c r="B13" s="12">
        <v>5.0279999999999996</v>
      </c>
      <c r="C13" s="12">
        <v>88.423000000000002</v>
      </c>
      <c r="D13" s="12">
        <f>'12_jmswe619   '!I14</f>
        <v>5.2860018928722489E-2</v>
      </c>
      <c r="E13" s="12">
        <f>'12_jmswe619   '!J14</f>
        <v>4.3598022473965076E-2</v>
      </c>
      <c r="F13" s="12">
        <f>'12_jmswe619   '!K14</f>
        <v>3.9325525930855219E-2</v>
      </c>
      <c r="G13" s="12">
        <f t="shared" si="8"/>
        <v>0.1357835673335428</v>
      </c>
      <c r="H13" s="12">
        <f t="shared" si="9"/>
        <v>0.92960251665362548</v>
      </c>
      <c r="I13" s="12">
        <f t="shared" si="10"/>
        <v>0.76671995648675706</v>
      </c>
      <c r="J13" s="12">
        <f t="shared" si="11"/>
        <v>0.69158332923309696</v>
      </c>
      <c r="K13">
        <v>3.0733962494964553</v>
      </c>
      <c r="L13" s="12">
        <f>'11_jmswe619    '!$L$17</f>
        <v>7.4717904263316443E-3</v>
      </c>
      <c r="M13" s="12">
        <f>'11_jmswe619    '!$L$18</f>
        <v>7.5320483987150345E-3</v>
      </c>
      <c r="N13" s="12">
        <f>'11_jmswe619    '!$L$19</f>
        <v>7.6064144297703969E-3</v>
      </c>
      <c r="O13" s="12">
        <f t="shared" si="3"/>
        <v>2.2610253254817074E-2</v>
      </c>
      <c r="P13" s="12">
        <f t="shared" si="4"/>
        <v>0.1313997861709473</v>
      </c>
      <c r="Q13" s="12">
        <f t="shared" si="5"/>
        <v>0.13245948996809456</v>
      </c>
      <c r="R13" s="12">
        <f t="shared" si="6"/>
        <v>0.13376729974613921</v>
      </c>
      <c r="S13" s="19">
        <v>0.42656930310055363</v>
      </c>
      <c r="T13">
        <v>7</v>
      </c>
    </row>
    <row r="14" spans="1:21" x14ac:dyDescent="0.3">
      <c r="A14" s="12" t="s">
        <v>84</v>
      </c>
      <c r="B14" s="12">
        <v>5.0010000000000003</v>
      </c>
      <c r="C14" s="12">
        <v>88.183999999999997</v>
      </c>
      <c r="D14" s="12">
        <f>'13_jmswe619  '!I14</f>
        <v>5.0241902216841487E-2</v>
      </c>
      <c r="E14" s="12">
        <f>'13_jmswe619  '!J14</f>
        <v>4.0918749592414691E-2</v>
      </c>
      <c r="F14" s="12">
        <f>'13_jmswe619  '!K14</f>
        <v>3.7148155407281218E-2</v>
      </c>
      <c r="G14" s="12">
        <f t="shared" si="8"/>
        <v>0.1283088072165374</v>
      </c>
      <c r="H14" s="12">
        <f t="shared" si="9"/>
        <v>0.88592919517895408</v>
      </c>
      <c r="I14" s="12">
        <f t="shared" si="10"/>
        <v>0.72153149651219695</v>
      </c>
      <c r="J14" s="12">
        <f t="shared" si="11"/>
        <v>0.65504357857142304</v>
      </c>
      <c r="K14">
        <v>3.2687567684389638</v>
      </c>
      <c r="L14" s="12">
        <f>'12_jmswe619   '!$L$17</f>
        <v>7.3895948396419144E-3</v>
      </c>
      <c r="M14" s="12">
        <f>'12_jmswe619   '!$L$18</f>
        <v>7.4630296671905107E-3</v>
      </c>
      <c r="N14" s="12">
        <f>'12_jmswe619   '!$L$19</f>
        <v>7.4982043516737575E-3</v>
      </c>
      <c r="O14" s="12">
        <f t="shared" si="3"/>
        <v>2.2350828858506182E-2</v>
      </c>
      <c r="P14" s="12">
        <f t="shared" si="4"/>
        <v>0.13030274571865277</v>
      </c>
      <c r="Q14" s="12">
        <f t="shared" si="5"/>
        <v>0.1315976421058844</v>
      </c>
      <c r="R14" s="12">
        <f t="shared" si="6"/>
        <v>0.13221788693221326</v>
      </c>
      <c r="S14" s="19">
        <v>0.42280563724373804</v>
      </c>
      <c r="T14">
        <v>19</v>
      </c>
    </row>
    <row r="15" spans="1:21" x14ac:dyDescent="0.3">
      <c r="A15" s="12" t="s">
        <v>85</v>
      </c>
      <c r="B15" s="12">
        <v>5.0410000000000004</v>
      </c>
      <c r="C15" s="12">
        <v>87.527000000000001</v>
      </c>
      <c r="D15" s="12">
        <f>'14_jmswe619  '!I14</f>
        <v>4.7885280851133062E-2</v>
      </c>
      <c r="E15" s="12">
        <f>'14_jmswe619  '!J14</f>
        <v>3.9922325793490997E-2</v>
      </c>
      <c r="F15" s="12">
        <f>'14_jmswe619  '!K14</f>
        <v>3.536513673640293E-2</v>
      </c>
      <c r="G15" s="12">
        <f t="shared" si="8"/>
        <v>0.12317274338102699</v>
      </c>
      <c r="H15" s="12">
        <f t="shared" si="9"/>
        <v>0.83143324282029829</v>
      </c>
      <c r="I15" s="12">
        <f t="shared" si="10"/>
        <v>0.69317226933681542</v>
      </c>
      <c r="J15" s="12">
        <f t="shared" si="11"/>
        <v>0.61404568996769271</v>
      </c>
      <c r="K15">
        <v>2.7628828135707821</v>
      </c>
      <c r="L15" s="12">
        <f>'13_jmswe619  '!$L$17</f>
        <v>7.4099573184852651E-3</v>
      </c>
      <c r="M15" s="12">
        <f>'13_jmswe619  '!$L$18</f>
        <v>7.4849929309590557E-3</v>
      </c>
      <c r="N15" s="12">
        <f>'13_jmswe619  '!$L$19</f>
        <v>7.5164405124131155E-3</v>
      </c>
      <c r="O15" s="12">
        <f t="shared" si="3"/>
        <v>2.2411390761857435E-2</v>
      </c>
      <c r="P15" s="12">
        <f t="shared" si="4"/>
        <v>0.12865926090360241</v>
      </c>
      <c r="Q15" s="12">
        <f t="shared" si="5"/>
        <v>0.12996210598453745</v>
      </c>
      <c r="R15" s="12">
        <f t="shared" si="6"/>
        <v>0.13050813107121262</v>
      </c>
      <c r="S15" s="19">
        <v>0.41745373379751377</v>
      </c>
      <c r="T15">
        <v>5</v>
      </c>
    </row>
    <row r="16" spans="1:21" x14ac:dyDescent="0.3">
      <c r="A16" s="12" t="s">
        <v>86</v>
      </c>
      <c r="B16" s="12">
        <v>5.0110000000000001</v>
      </c>
      <c r="C16" s="12">
        <v>88.281999999999996</v>
      </c>
      <c r="D16" s="12">
        <f>'15_jmswe619  '!I14</f>
        <v>4.8060314026393734E-2</v>
      </c>
      <c r="E16" s="12">
        <f>'15_jmswe619  '!J14</f>
        <v>3.9968720129102249E-2</v>
      </c>
      <c r="F16" s="12">
        <f>'15_jmswe619  '!K14</f>
        <v>3.5876528844845254E-2</v>
      </c>
      <c r="G16" s="12">
        <f t="shared" si="8"/>
        <v>0.12390556300034124</v>
      </c>
      <c r="H16" s="12">
        <f t="shared" si="9"/>
        <v>0.84670936796609286</v>
      </c>
      <c r="I16" s="12">
        <f t="shared" si="10"/>
        <v>0.70415457003340742</v>
      </c>
      <c r="J16" s="12">
        <f t="shared" si="11"/>
        <v>0.63205981230904584</v>
      </c>
      <c r="K16">
        <v>2.8599328078819037</v>
      </c>
      <c r="L16" s="12">
        <f>'14_jmswe619  '!$L$17</f>
        <v>7.4285538324958943E-3</v>
      </c>
      <c r="M16" s="12">
        <f>'14_jmswe619  '!$L$18</f>
        <v>7.4932423943173511E-3</v>
      </c>
      <c r="N16" s="12">
        <f>'14_jmswe619  '!$L$19</f>
        <v>7.5315284366825235E-3</v>
      </c>
      <c r="O16" s="12">
        <f t="shared" si="3"/>
        <v>2.2453324663495769E-2</v>
      </c>
      <c r="P16" s="12">
        <f t="shared" si="4"/>
        <v>0.13087359597693124</v>
      </c>
      <c r="Q16" s="12">
        <f t="shared" si="5"/>
        <v>0.13201325584815893</v>
      </c>
      <c r="R16" s="12">
        <f t="shared" si="6"/>
        <v>0.13268776560511006</v>
      </c>
      <c r="S16" s="19">
        <v>0.42436798522791425</v>
      </c>
      <c r="T16">
        <v>16</v>
      </c>
    </row>
    <row r="17" spans="1:20" x14ac:dyDescent="0.3">
      <c r="A17" s="12" t="s">
        <v>87</v>
      </c>
      <c r="B17" s="19">
        <v>5.0039999999999996</v>
      </c>
      <c r="C17" s="19">
        <v>88.197999999999993</v>
      </c>
      <c r="D17" s="19">
        <f>'16_jmswe619   '!I14</f>
        <v>3.2789196693259456E-2</v>
      </c>
      <c r="E17" s="19">
        <f>'16_jmswe619   '!J14</f>
        <v>3.5314524733917926E-2</v>
      </c>
      <c r="F17" s="19">
        <f>'16_jmswe619   '!K14</f>
        <v>2.6033548778228638E-2</v>
      </c>
      <c r="G17" s="19">
        <f t="shared" si="8"/>
        <v>9.4137270205406021E-2</v>
      </c>
      <c r="H17" s="19">
        <f t="shared" si="9"/>
        <v>0.57792597321185002</v>
      </c>
      <c r="I17" s="19">
        <f t="shared" si="10"/>
        <v>0.62243614158315208</v>
      </c>
      <c r="J17" s="19">
        <f t="shared" si="11"/>
        <v>0.45885430358557344</v>
      </c>
      <c r="K17" s="19">
        <v>1.999886481581</v>
      </c>
      <c r="L17" s="19">
        <f>'15_jmswe619  '!$L$17</f>
        <v>7.427163935907817E-3</v>
      </c>
      <c r="M17" s="19">
        <f>'15_jmswe619  '!$L$18</f>
        <v>7.4928573177571491E-3</v>
      </c>
      <c r="N17" s="19">
        <f>'15_jmswe619  '!$L$19</f>
        <v>7.5271868499750105E-3</v>
      </c>
      <c r="O17" s="19">
        <f t="shared" si="3"/>
        <v>2.2447208103639975E-2</v>
      </c>
      <c r="P17" s="19">
        <f t="shared" si="4"/>
        <v>0.13090747498385244</v>
      </c>
      <c r="Q17" s="19">
        <f t="shared" si="5"/>
        <v>0.13206535365938149</v>
      </c>
      <c r="R17" s="19">
        <f t="shared" si="6"/>
        <v>0.1326704288157666</v>
      </c>
      <c r="S17" s="19">
        <v>0.42444162147615783</v>
      </c>
      <c r="T17">
        <v>6</v>
      </c>
    </row>
    <row r="18" spans="1:20" x14ac:dyDescent="0.3">
      <c r="A18" s="12" t="s">
        <v>88</v>
      </c>
      <c r="B18" s="12">
        <v>5.008</v>
      </c>
      <c r="C18" s="12">
        <v>25.53</v>
      </c>
      <c r="D18" s="12">
        <f>'17_jmswe619   '!I14</f>
        <v>0.11159524781258023</v>
      </c>
      <c r="E18" s="12">
        <f>'17_jmswe619   '!J14</f>
        <v>9.7591539375008168E-2</v>
      </c>
      <c r="F18" s="12">
        <f>'17_jmswe619   '!K14</f>
        <v>8.2288789540320761E-2</v>
      </c>
      <c r="G18" s="12">
        <f t="shared" si="8"/>
        <v>0.29147557672790914</v>
      </c>
      <c r="H18" s="12">
        <f t="shared" si="9"/>
        <v>0.56889510316596914</v>
      </c>
      <c r="I18" s="12">
        <f t="shared" si="10"/>
        <v>0.49750638982507167</v>
      </c>
      <c r="J18" s="12">
        <f t="shared" si="11"/>
        <v>0.41949536680598826</v>
      </c>
      <c r="K18">
        <v>1.9647967567641211</v>
      </c>
      <c r="L18" s="12">
        <f>'16_jmswe619   '!$L$17</f>
        <v>7.553570073885742E-3</v>
      </c>
      <c r="M18" s="12">
        <f>'16_jmswe619   '!$L$18</f>
        <v>7.5319587384828791E-3</v>
      </c>
      <c r="N18" s="12">
        <f>'16_jmswe619   '!$L$19</f>
        <v>7.6127290768628628E-3</v>
      </c>
      <c r="O18" s="12">
        <f t="shared" si="3"/>
        <v>2.2698257889231483E-2</v>
      </c>
      <c r="P18" s="12">
        <f t="shared" si="4"/>
        <v>3.850691772889437E-2</v>
      </c>
      <c r="Q18" s="12">
        <f t="shared" si="5"/>
        <v>3.8396746524254774E-2</v>
      </c>
      <c r="R18" s="12">
        <f t="shared" si="6"/>
        <v>3.8808501064758166E-2</v>
      </c>
      <c r="S18" s="19">
        <v>0.12413470505595378</v>
      </c>
      <c r="T18">
        <v>20</v>
      </c>
    </row>
    <row r="19" spans="1:20" x14ac:dyDescent="0.3">
      <c r="A19" s="12" t="s">
        <v>89</v>
      </c>
      <c r="B19" s="12">
        <v>5.0069999999999997</v>
      </c>
      <c r="C19" s="12">
        <v>87.847000000000008</v>
      </c>
      <c r="D19" s="12">
        <f>'18_jmswe619  '!I14</f>
        <v>5.4518616426825095E-2</v>
      </c>
      <c r="E19" s="12">
        <f>'18_jmswe619  '!J14</f>
        <v>4.5489646066842443E-2</v>
      </c>
      <c r="F19" s="12">
        <f>'18_jmswe619  '!K14</f>
        <v>4.0210181557624507E-2</v>
      </c>
      <c r="G19" s="12">
        <f t="shared" si="8"/>
        <v>0.14021844405129205</v>
      </c>
      <c r="H19" s="12">
        <f t="shared" si="9"/>
        <v>0.95652025109792382</v>
      </c>
      <c r="I19" s="12">
        <f t="shared" si="10"/>
        <v>0.79810843579666646</v>
      </c>
      <c r="J19" s="12">
        <f t="shared" si="11"/>
        <v>0.70548109033206319</v>
      </c>
      <c r="K19">
        <v>3.2407113973063275</v>
      </c>
      <c r="L19" s="12">
        <f>'17_jmswe619   '!$L$17</f>
        <v>7.0204348771370087E-3</v>
      </c>
      <c r="M19" s="12">
        <f>'17_jmswe619   '!$L$18</f>
        <v>7.0925535835801657E-3</v>
      </c>
      <c r="N19" s="12">
        <f>'17_jmswe619   '!$L$19</f>
        <v>7.183027373294508E-3</v>
      </c>
      <c r="O19" s="12">
        <f t="shared" si="3"/>
        <v>2.1296015834011681E-2</v>
      </c>
      <c r="P19" s="12">
        <f t="shared" si="4"/>
        <v>0.12317238718830734</v>
      </c>
      <c r="Q19" s="12">
        <f t="shared" si="5"/>
        <v>0.12443769815393788</v>
      </c>
      <c r="R19" s="12">
        <f t="shared" si="6"/>
        <v>0.12602504606786555</v>
      </c>
      <c r="S19" s="19">
        <v>0.40083155222883732</v>
      </c>
      <c r="T19">
        <v>3</v>
      </c>
    </row>
    <row r="20" spans="1:20" x14ac:dyDescent="0.3">
      <c r="A20" s="12" t="s">
        <v>90</v>
      </c>
      <c r="B20" s="19">
        <v>5.0019999999999998</v>
      </c>
      <c r="C20" s="19">
        <v>150.596</v>
      </c>
      <c r="D20" s="19">
        <f>'19_jmswe619  '!I14</f>
        <v>2.8810882414593727E-2</v>
      </c>
      <c r="E20" s="19">
        <f>'19_jmswe619  '!J14</f>
        <v>2.5955521941064239E-2</v>
      </c>
      <c r="F20" s="19">
        <f>'19_jmswe619  '!K14</f>
        <v>2.2042581498941664E-2</v>
      </c>
      <c r="G20" s="19">
        <f t="shared" si="8"/>
        <v>7.6808985854599637E-2</v>
      </c>
      <c r="H20" s="19">
        <f t="shared" si="9"/>
        <v>0.86741376411598503</v>
      </c>
      <c r="I20" s="19">
        <f t="shared" si="10"/>
        <v>0.78144697765623961</v>
      </c>
      <c r="J20" s="19">
        <f t="shared" si="11"/>
        <v>0.66363946489696501</v>
      </c>
      <c r="K20">
        <v>3.0071429317016274</v>
      </c>
      <c r="L20" s="19">
        <f>'18_jmswe619  '!$L$17</f>
        <v>7.3768582300090492E-3</v>
      </c>
      <c r="M20" s="19">
        <f>'18_jmswe619  '!$L$18</f>
        <v>7.4477162585144894E-3</v>
      </c>
      <c r="N20" s="19">
        <f>'18_jmswe619  '!$L$19</f>
        <v>7.4908547049376203E-3</v>
      </c>
      <c r="O20" s="19">
        <f t="shared" si="3"/>
        <v>2.2315429193461158E-2</v>
      </c>
      <c r="P20" s="19">
        <f t="shared" si="4"/>
        <v>0.22209622990932484</v>
      </c>
      <c r="Q20" s="19">
        <f t="shared" si="5"/>
        <v>0.22422956370796646</v>
      </c>
      <c r="R20" s="19">
        <f t="shared" si="6"/>
        <v>0.22552833969307995</v>
      </c>
      <c r="S20" s="19">
        <v>0.72075753184613123</v>
      </c>
      <c r="T20">
        <v>15</v>
      </c>
    </row>
    <row r="21" spans="1:20" x14ac:dyDescent="0.3">
      <c r="A21" s="12" t="s">
        <v>91</v>
      </c>
      <c r="B21" s="19">
        <v>5.032</v>
      </c>
      <c r="C21" s="19">
        <v>88.088999999999999</v>
      </c>
      <c r="D21" s="19">
        <f>'20_jmswe619  '!I14</f>
        <v>2.5864842103278593E-2</v>
      </c>
      <c r="E21" s="19">
        <f>'20_jmswe619  '!J14</f>
        <v>2.1205374624502071E-2</v>
      </c>
      <c r="F21" s="19">
        <f>'20_jmswe619  '!K14</f>
        <v>1.3360514239325031E-2</v>
      </c>
      <c r="G21" s="19">
        <f t="shared" si="8"/>
        <v>6.0430730967105696E-2</v>
      </c>
      <c r="H21" s="19">
        <f t="shared" si="9"/>
        <v>0.4527837988942186</v>
      </c>
      <c r="I21" s="19">
        <f t="shared" si="10"/>
        <v>0.37121626496378435</v>
      </c>
      <c r="J21" s="19">
        <f t="shared" si="11"/>
        <v>0.23388599738233359</v>
      </c>
      <c r="K21">
        <v>1.3831197895489242</v>
      </c>
      <c r="L21" s="19">
        <f>'20_jmswe619  '!$L$17</f>
        <v>7.614231229536271E-3</v>
      </c>
      <c r="M21" s="19">
        <f>'20_jmswe619  '!$L$18</f>
        <v>7.6561898610416909E-3</v>
      </c>
      <c r="N21" s="19">
        <f>'20_jmswe619  '!$L$19</f>
        <v>7.7288564204743629E-3</v>
      </c>
      <c r="O21" s="19">
        <f t="shared" si="3"/>
        <v>2.2999277511052324E-2</v>
      </c>
      <c r="P21" s="19">
        <f t="shared" si="4"/>
        <v>0.13329292821514718</v>
      </c>
      <c r="Q21" s="19">
        <f t="shared" si="5"/>
        <v>0.134027446078955</v>
      </c>
      <c r="R21" s="19">
        <f t="shared" si="6"/>
        <v>0.13529952965484224</v>
      </c>
      <c r="S21" s="19">
        <v>0.43192608909397029</v>
      </c>
      <c r="T21">
        <v>10</v>
      </c>
    </row>
    <row r="22" spans="1:20" x14ac:dyDescent="0.3">
      <c r="A22" s="12" t="s">
        <v>92</v>
      </c>
      <c r="B22" s="12">
        <v>5.024</v>
      </c>
      <c r="C22" s="12">
        <v>125.681</v>
      </c>
      <c r="D22" s="12">
        <f>'5b_jmswe619 '!I14</f>
        <v>3.4522657778371164E-2</v>
      </c>
      <c r="E22" s="12">
        <f>'5b_jmswe619 '!J14</f>
        <v>3.020798456652378E-2</v>
      </c>
      <c r="F22" s="12">
        <f>'5b_jmswe619 '!K14</f>
        <v>2.2383158098997068E-2</v>
      </c>
      <c r="G22" s="12">
        <f t="shared" si="8"/>
        <v>8.7113800443892025E-2</v>
      </c>
      <c r="H22" s="12">
        <f t="shared" si="9"/>
        <v>0.86362303985737787</v>
      </c>
      <c r="I22" s="12">
        <f t="shared" si="10"/>
        <v>0.75568664576140032</v>
      </c>
      <c r="J22" s="12">
        <f t="shared" si="11"/>
        <v>0.55993982743631576</v>
      </c>
      <c r="K22">
        <v>2.848306813550185</v>
      </c>
      <c r="L22" s="12">
        <f>'5b_jmswe619 '!$L$17</f>
        <v>7.5387056644473449E-3</v>
      </c>
      <c r="M22" s="12">
        <f>'5b_jmswe619 '!$L$18</f>
        <v>7.5759438280035389E-3</v>
      </c>
      <c r="N22" s="12">
        <f>'5b_jmswe619 '!$L$19</f>
        <v>7.6454983946301052E-3</v>
      </c>
      <c r="O22" s="12">
        <f t="shared" si="3"/>
        <v>2.2760147887080986E-2</v>
      </c>
      <c r="P22" s="12">
        <f t="shared" si="4"/>
        <v>0.18858918523356027</v>
      </c>
      <c r="Q22" s="12">
        <f t="shared" si="5"/>
        <v>0.18952073969890779</v>
      </c>
      <c r="R22" s="12">
        <f t="shared" si="6"/>
        <v>0.19126072526582527</v>
      </c>
      <c r="S22" s="19">
        <v>0.61081440776515938</v>
      </c>
      <c r="T22">
        <v>9</v>
      </c>
    </row>
    <row r="23" spans="1:20" x14ac:dyDescent="0.3">
      <c r="A23" s="12">
        <v>0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9">
        <v>0</v>
      </c>
    </row>
    <row r="28" spans="1:20" ht="15.6" x14ac:dyDescent="0.3">
      <c r="K28" s="13"/>
    </row>
    <row r="29" spans="1:20" ht="15.6" x14ac:dyDescent="0.3">
      <c r="K29" s="13"/>
    </row>
    <row r="30" spans="1:20" ht="15.6" x14ac:dyDescent="0.3">
      <c r="K30" s="13"/>
    </row>
    <row r="31" spans="1:20" x14ac:dyDescent="0.3">
      <c r="K31" s="14"/>
    </row>
  </sheetData>
  <mergeCells count="4">
    <mergeCell ref="D1:G1"/>
    <mergeCell ref="H1:K1"/>
    <mergeCell ref="L1:O1"/>
    <mergeCell ref="P1:S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5"/>
  <sheetViews>
    <sheetView zoomScale="80" zoomScaleNormal="80" workbookViewId="0">
      <selection activeCell="L16" sqref="L16:L19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14</v>
      </c>
      <c r="B3">
        <v>12.028</v>
      </c>
      <c r="C3">
        <v>2894.6</v>
      </c>
      <c r="D3">
        <v>47.4</v>
      </c>
      <c r="E3">
        <v>0.91839999999999999</v>
      </c>
      <c r="F3">
        <v>11.997</v>
      </c>
      <c r="G3">
        <v>0.91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20</v>
      </c>
      <c r="B4">
        <v>23.437999999999999</v>
      </c>
      <c r="C4">
        <v>4277.8</v>
      </c>
      <c r="D4">
        <v>162.6</v>
      </c>
      <c r="E4">
        <v>0.38900000000000001</v>
      </c>
      <c r="F4">
        <v>17.73</v>
      </c>
      <c r="G4">
        <v>0.73699999999999999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22</v>
      </c>
      <c r="B5">
        <v>25.908999999999999</v>
      </c>
      <c r="C5">
        <f>278.8+3170.9</f>
        <v>3449.7000000000003</v>
      </c>
      <c r="D5">
        <v>177.2</v>
      </c>
      <c r="E5">
        <v>0.2767</v>
      </c>
      <c r="F5">
        <v>13.141999999999999</v>
      </c>
      <c r="G5">
        <v>0.89600000000000002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13</v>
      </c>
      <c r="B8">
        <v>12.010999999999999</v>
      </c>
      <c r="C8">
        <v>2871.8</v>
      </c>
      <c r="D8">
        <v>47.3</v>
      </c>
      <c r="E8">
        <v>0.92290000000000005</v>
      </c>
      <c r="F8">
        <v>12.214</v>
      </c>
      <c r="G8">
        <v>0.91200000000000003</v>
      </c>
      <c r="M8" t="s">
        <v>54</v>
      </c>
      <c r="N8">
        <f>'CGA Calibration'!P11</f>
        <v>150585.9375</v>
      </c>
    </row>
    <row r="9" spans="1:14" x14ac:dyDescent="0.3">
      <c r="A9">
        <v>19</v>
      </c>
      <c r="B9">
        <v>23.414000000000001</v>
      </c>
      <c r="C9">
        <v>4265.6000000000004</v>
      </c>
      <c r="D9">
        <v>162</v>
      </c>
      <c r="E9">
        <v>0.3891</v>
      </c>
      <c r="F9">
        <v>18.141999999999999</v>
      </c>
      <c r="G9">
        <v>0.74399999999999999</v>
      </c>
      <c r="M9" t="s">
        <v>55</v>
      </c>
      <c r="N9">
        <f>'CGA Calibration'!P12</f>
        <v>386.37622436100969</v>
      </c>
    </row>
    <row r="10" spans="1:14" x14ac:dyDescent="0.3">
      <c r="A10">
        <v>21</v>
      </c>
      <c r="B10">
        <v>25.89</v>
      </c>
      <c r="C10">
        <f>273.9+3195.2</f>
        <v>3469.1</v>
      </c>
      <c r="D10">
        <v>177.4</v>
      </c>
      <c r="E10">
        <v>0.27810000000000001</v>
      </c>
      <c r="F10">
        <v>13.59</v>
      </c>
      <c r="G10">
        <v>0.88900000000000001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1" t="s">
        <v>15</v>
      </c>
      <c r="H12" s="1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4271.7000000000007</v>
      </c>
      <c r="B14">
        <f>AVERAGE(C10,C5)</f>
        <v>3459.4</v>
      </c>
      <c r="C14">
        <f>AVERAGE(C3,C8)</f>
        <v>2883.2</v>
      </c>
      <c r="D14">
        <f>A14/'CGA Calibration'!I17</f>
        <v>85.79336945048837</v>
      </c>
      <c r="E14">
        <f>B14/'CGA Calibration'!I17</f>
        <v>69.479032300259718</v>
      </c>
      <c r="F14">
        <f>C14/'CGA Calibration'!I17</f>
        <v>57.906557763805516</v>
      </c>
      <c r="I14" s="2">
        <f>(D14*G13*H13)/1000</f>
        <v>9.0083037923012796E-2</v>
      </c>
      <c r="J14" s="2">
        <f>(E14*H13*G13)/1000</f>
        <v>7.2952983915272704E-2</v>
      </c>
      <c r="K14" s="2">
        <f>(F14*H13*G13)/1000</f>
        <v>6.0801885651995798E-2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-4997.3999999999996</v>
      </c>
      <c r="I17">
        <f>H17^2</f>
        <v>24974006.759999998</v>
      </c>
      <c r="J17">
        <f>N11*SQRT(N4+N5+(I17/(N3^2*N8)))</f>
        <v>6.7956660680323013</v>
      </c>
      <c r="K17" s="2">
        <f>J17*G13*H13</f>
        <v>7.1354493714339169</v>
      </c>
      <c r="L17">
        <f>K17/1000</f>
        <v>7.1354493714339169E-3</v>
      </c>
    </row>
    <row r="18" spans="1:14" x14ac:dyDescent="0.3">
      <c r="G18" s="2" t="s">
        <v>19</v>
      </c>
      <c r="H18">
        <f>B14-N6</f>
        <v>-5809.7000000000007</v>
      </c>
      <c r="I18">
        <f t="shared" ref="I18:I19" si="0">H18^2</f>
        <v>33752614.090000011</v>
      </c>
      <c r="J18">
        <f>N11*SQRT(N4+N5+(I18/(N3^2*N8)))</f>
        <v>6.8990660287247989</v>
      </c>
      <c r="K18" s="2">
        <f>J18*G13*H13</f>
        <v>7.2440193301610387</v>
      </c>
      <c r="L18">
        <f t="shared" ref="L18:L19" si="1">K18/1000</f>
        <v>7.2440193301610391E-3</v>
      </c>
    </row>
    <row r="19" spans="1:14" x14ac:dyDescent="0.3">
      <c r="G19" s="2" t="s">
        <v>20</v>
      </c>
      <c r="H19">
        <f>C14-N6</f>
        <v>-6385.9000000000005</v>
      </c>
      <c r="I19">
        <f t="shared" si="0"/>
        <v>40779718.81000001</v>
      </c>
      <c r="J19">
        <f>N11*SQRT(N4+N5+(I19/(N3^2*N8)))</f>
        <v>6.9807320819806691</v>
      </c>
      <c r="K19" s="2">
        <f>J19*G13*H13</f>
        <v>7.3297686860797029</v>
      </c>
      <c r="L19">
        <f t="shared" si="1"/>
        <v>7.329768686079703E-3</v>
      </c>
    </row>
    <row r="25" spans="1:14" x14ac:dyDescent="0.3">
      <c r="A25" t="s">
        <v>25</v>
      </c>
    </row>
    <row r="26" spans="1:14" x14ac:dyDescent="0.3">
      <c r="A26" t="s">
        <v>7</v>
      </c>
      <c r="B26" t="s">
        <v>8</v>
      </c>
      <c r="C26" t="s">
        <v>0</v>
      </c>
      <c r="D26" t="s">
        <v>9</v>
      </c>
      <c r="E26" t="s">
        <v>10</v>
      </c>
      <c r="F26" t="s">
        <v>11</v>
      </c>
      <c r="G26" t="s">
        <v>12</v>
      </c>
      <c r="M26" t="s">
        <v>48</v>
      </c>
      <c r="N26">
        <v>85.133198199906218</v>
      </c>
    </row>
    <row r="27" spans="1:14" x14ac:dyDescent="0.3">
      <c r="A27">
        <v>26</v>
      </c>
      <c r="B27">
        <v>20.686</v>
      </c>
      <c r="C27">
        <v>4653.8</v>
      </c>
      <c r="D27">
        <v>321.5</v>
      </c>
      <c r="E27">
        <v>0.22289999999999999</v>
      </c>
      <c r="F27">
        <v>7.8090000000000002</v>
      </c>
      <c r="G27">
        <v>1.6719999999999999</v>
      </c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A29" t="s">
        <v>7</v>
      </c>
      <c r="B29" t="s">
        <v>8</v>
      </c>
      <c r="C29" t="s">
        <v>0</v>
      </c>
      <c r="D29" t="s">
        <v>9</v>
      </c>
      <c r="E29" t="s">
        <v>10</v>
      </c>
      <c r="F29" t="s">
        <v>11</v>
      </c>
      <c r="G29" t="s">
        <v>12</v>
      </c>
      <c r="M29" t="s">
        <v>51</v>
      </c>
      <c r="N29">
        <v>0.16666666666666666</v>
      </c>
    </row>
    <row r="30" spans="1:14" x14ac:dyDescent="0.3">
      <c r="A30">
        <v>25</v>
      </c>
      <c r="B30">
        <v>20.73</v>
      </c>
      <c r="C30">
        <v>4648</v>
      </c>
      <c r="D30">
        <v>321.89999999999998</v>
      </c>
      <c r="E30">
        <v>0.2225</v>
      </c>
      <c r="F30">
        <v>7.8339999999999996</v>
      </c>
      <c r="G30">
        <v>1.673</v>
      </c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1" t="s">
        <v>14</v>
      </c>
      <c r="B32" s="3" t="s">
        <v>17</v>
      </c>
      <c r="C32" t="s">
        <v>21</v>
      </c>
      <c r="D32" t="s">
        <v>22</v>
      </c>
      <c r="E32" s="2" t="s">
        <v>23</v>
      </c>
      <c r="F32" s="2"/>
      <c r="M32" t="s">
        <v>54</v>
      </c>
      <c r="N32">
        <v>0.19218750000000001</v>
      </c>
    </row>
    <row r="33" spans="1:14" x14ac:dyDescent="0.3">
      <c r="A33">
        <f>AVERAGE(C27,C30)</f>
        <v>4650.8999999999996</v>
      </c>
      <c r="B33">
        <v>0.34002919088387246</v>
      </c>
      <c r="C33">
        <f>A33-N30</f>
        <v>1733.5333333333333</v>
      </c>
      <c r="D33">
        <f>C33^2</f>
        <v>3005137.8177777776</v>
      </c>
      <c r="E33">
        <f>N35*SQRT(N28+N29+(D33/(N27^2*N32)))</f>
        <v>3.6688422331237853E-3</v>
      </c>
      <c r="M33" t="s">
        <v>55</v>
      </c>
      <c r="N33">
        <v>57.935940506987357</v>
      </c>
    </row>
    <row r="34" spans="1:14" x14ac:dyDescent="0.3">
      <c r="M34">
        <v>0</v>
      </c>
      <c r="N34">
        <v>0</v>
      </c>
    </row>
    <row r="35" spans="1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5"/>
  <sheetViews>
    <sheetView zoomScale="68" zoomScaleNormal="68" workbookViewId="0">
      <selection activeCell="L16" sqref="L16:L19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11</v>
      </c>
      <c r="B3">
        <v>12.281000000000001</v>
      </c>
      <c r="C3">
        <v>1689</v>
      </c>
      <c r="D3">
        <v>28.5</v>
      </c>
      <c r="E3">
        <v>0.90610000000000002</v>
      </c>
      <c r="F3">
        <v>15.343</v>
      </c>
      <c r="G3">
        <v>0.91900000000000004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15</v>
      </c>
      <c r="B4">
        <v>23.486000000000001</v>
      </c>
      <c r="C4">
        <v>2432.8000000000002</v>
      </c>
      <c r="D4">
        <v>92.8</v>
      </c>
      <c r="E4">
        <v>0.38600000000000001</v>
      </c>
      <c r="F4">
        <v>22.099</v>
      </c>
      <c r="G4">
        <v>0.74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16</v>
      </c>
      <c r="B5">
        <v>25.962</v>
      </c>
      <c r="C5">
        <f>163.2+1819.1</f>
        <v>1982.3</v>
      </c>
      <c r="D5">
        <v>105.7</v>
      </c>
      <c r="E5">
        <v>0.26869999999999999</v>
      </c>
      <c r="F5">
        <v>16.524000000000001</v>
      </c>
      <c r="G5">
        <v>0.95699999999999996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11</v>
      </c>
      <c r="B8">
        <v>12.311999999999999</v>
      </c>
      <c r="C8">
        <v>1688.5</v>
      </c>
      <c r="D8">
        <v>28.4</v>
      </c>
      <c r="E8">
        <v>0.90739999999999998</v>
      </c>
      <c r="F8">
        <v>15.263</v>
      </c>
      <c r="G8">
        <v>0.91200000000000003</v>
      </c>
      <c r="M8" t="s">
        <v>54</v>
      </c>
      <c r="N8">
        <f>'CGA Calibration'!P11</f>
        <v>150585.9375</v>
      </c>
    </row>
    <row r="9" spans="1:14" x14ac:dyDescent="0.3">
      <c r="A9">
        <v>15</v>
      </c>
      <c r="B9">
        <v>23.524000000000001</v>
      </c>
      <c r="C9">
        <v>2434.5</v>
      </c>
      <c r="D9">
        <v>93</v>
      </c>
      <c r="E9">
        <v>0.3876</v>
      </c>
      <c r="F9">
        <v>22.007000000000001</v>
      </c>
      <c r="G9">
        <v>0.73799999999999999</v>
      </c>
      <c r="M9" t="s">
        <v>55</v>
      </c>
      <c r="N9">
        <f>'CGA Calibration'!P12</f>
        <v>386.37622436100969</v>
      </c>
    </row>
    <row r="10" spans="1:14" x14ac:dyDescent="0.3">
      <c r="A10">
        <v>16</v>
      </c>
      <c r="B10">
        <v>25.998999999999999</v>
      </c>
      <c r="C10">
        <f>163.5+1821.4</f>
        <v>1984.9</v>
      </c>
      <c r="D10">
        <v>106.2</v>
      </c>
      <c r="E10">
        <v>0.26600000000000001</v>
      </c>
      <c r="F10">
        <v>16.463999999999999</v>
      </c>
      <c r="G10">
        <v>0.95899999999999996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1" t="s">
        <v>15</v>
      </c>
      <c r="H12" s="1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2433.65</v>
      </c>
      <c r="B14">
        <f>AVERAGE(C10,C5)</f>
        <v>1983.6</v>
      </c>
      <c r="C14">
        <f>AVERAGE(C3,C8)</f>
        <v>1688.75</v>
      </c>
      <c r="D14">
        <f>A14/'CGA Calibration'!I17</f>
        <v>48.877738034782638</v>
      </c>
      <c r="E14">
        <f>B14/'CGA Calibration'!I17</f>
        <v>39.838876241774635</v>
      </c>
      <c r="F14">
        <f>C14/'CGA Calibration'!I17</f>
        <v>33.917071109748392</v>
      </c>
      <c r="I14" s="2">
        <f>(D14*G13*H13)/1000</f>
        <v>5.1321624936521773E-2</v>
      </c>
      <c r="J14" s="2">
        <f>(E14*H13*G13)/1000</f>
        <v>4.183082005386337E-2</v>
      </c>
      <c r="K14" s="2">
        <f>(F14*H13*G13)/1000</f>
        <v>3.5612924665235815E-2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-6835.4500000000007</v>
      </c>
      <c r="I17">
        <f>H17^2</f>
        <v>46723376.702500008</v>
      </c>
      <c r="J17">
        <f>N11*SQRT(N4+N5+(I17/(N3^2*N8)))</f>
        <v>7.0490682473509816</v>
      </c>
      <c r="K17" s="2">
        <f>J17*G13*H13</f>
        <v>7.4015216597185312</v>
      </c>
      <c r="L17">
        <f>K17/1000</f>
        <v>7.401521659718531E-3</v>
      </c>
    </row>
    <row r="18" spans="1:14" x14ac:dyDescent="0.3">
      <c r="G18" s="2" t="s">
        <v>19</v>
      </c>
      <c r="H18">
        <f>B14-N6</f>
        <v>-7285.5</v>
      </c>
      <c r="I18">
        <f t="shared" ref="I18:I19" si="0">H18^2</f>
        <v>53078510.25</v>
      </c>
      <c r="J18">
        <f>N11*SQRT(N4+N5+(I18/(N3^2*N8)))</f>
        <v>7.1214099069151127</v>
      </c>
      <c r="K18" s="2">
        <f>J18*G13*H13</f>
        <v>7.477480402260869</v>
      </c>
      <c r="L18">
        <f t="shared" ref="L18:L19" si="1">K18/1000</f>
        <v>7.4774804022608686E-3</v>
      </c>
    </row>
    <row r="19" spans="1:14" x14ac:dyDescent="0.3">
      <c r="G19" s="2" t="s">
        <v>20</v>
      </c>
      <c r="H19">
        <f>C14-N6</f>
        <v>-7580.35</v>
      </c>
      <c r="I19">
        <f t="shared" si="0"/>
        <v>57461706.122500002</v>
      </c>
      <c r="J19">
        <f>N11*SQRT(N4+N5+(I19/(N3^2*N8)))</f>
        <v>7.1708793898685661</v>
      </c>
      <c r="K19" s="2">
        <f>J19*G13*H13</f>
        <v>7.5294233593619948</v>
      </c>
      <c r="L19">
        <f t="shared" si="1"/>
        <v>7.5294233593619945E-3</v>
      </c>
    </row>
    <row r="25" spans="1:14" x14ac:dyDescent="0.3">
      <c r="A25" t="s">
        <v>25</v>
      </c>
    </row>
    <row r="26" spans="1:14" x14ac:dyDescent="0.3">
      <c r="A26" t="s">
        <v>7</v>
      </c>
      <c r="B26" t="s">
        <v>8</v>
      </c>
      <c r="C26" t="s">
        <v>0</v>
      </c>
      <c r="D26" t="s">
        <v>9</v>
      </c>
      <c r="E26" t="s">
        <v>10</v>
      </c>
      <c r="F26" t="s">
        <v>11</v>
      </c>
      <c r="G26" t="s">
        <v>12</v>
      </c>
      <c r="M26" t="s">
        <v>48</v>
      </c>
      <c r="N26">
        <v>85.133198199906218</v>
      </c>
    </row>
    <row r="27" spans="1:14" x14ac:dyDescent="0.3">
      <c r="A27">
        <v>26</v>
      </c>
      <c r="B27">
        <v>20.686</v>
      </c>
      <c r="C27">
        <v>4653.8</v>
      </c>
      <c r="D27">
        <v>321.5</v>
      </c>
      <c r="E27">
        <v>0.22289999999999999</v>
      </c>
      <c r="F27">
        <v>7.8090000000000002</v>
      </c>
      <c r="G27">
        <v>1.6719999999999999</v>
      </c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A29" t="s">
        <v>7</v>
      </c>
      <c r="B29" t="s">
        <v>8</v>
      </c>
      <c r="C29" t="s">
        <v>0</v>
      </c>
      <c r="D29" t="s">
        <v>9</v>
      </c>
      <c r="E29" t="s">
        <v>10</v>
      </c>
      <c r="F29" t="s">
        <v>11</v>
      </c>
      <c r="G29" t="s">
        <v>12</v>
      </c>
      <c r="M29" t="s">
        <v>51</v>
      </c>
      <c r="N29">
        <v>0.16666666666666666</v>
      </c>
    </row>
    <row r="30" spans="1:14" x14ac:dyDescent="0.3">
      <c r="A30">
        <v>25</v>
      </c>
      <c r="B30">
        <v>20.73</v>
      </c>
      <c r="C30">
        <v>4648</v>
      </c>
      <c r="D30">
        <v>321.89999999999998</v>
      </c>
      <c r="E30">
        <v>0.2225</v>
      </c>
      <c r="F30">
        <v>7.8339999999999996</v>
      </c>
      <c r="G30">
        <v>1.673</v>
      </c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1" t="s">
        <v>14</v>
      </c>
      <c r="B32" s="3" t="s">
        <v>17</v>
      </c>
      <c r="C32" t="s">
        <v>21</v>
      </c>
      <c r="D32" t="s">
        <v>22</v>
      </c>
      <c r="E32" s="2" t="s">
        <v>23</v>
      </c>
      <c r="F32" s="2"/>
      <c r="M32" t="s">
        <v>54</v>
      </c>
      <c r="N32">
        <v>0.19218750000000001</v>
      </c>
    </row>
    <row r="33" spans="1:14" x14ac:dyDescent="0.3">
      <c r="A33">
        <f>AVERAGE(C27,C30)</f>
        <v>4650.8999999999996</v>
      </c>
      <c r="B33">
        <v>0.34002919088387246</v>
      </c>
      <c r="C33">
        <f>A33-N30</f>
        <v>1733.5333333333333</v>
      </c>
      <c r="D33">
        <f>C33^2</f>
        <v>3005137.8177777776</v>
      </c>
      <c r="E33">
        <f>N35*SQRT(N28+N29+(D33/(N27^2*N32)))</f>
        <v>3.6688422331237853E-3</v>
      </c>
      <c r="M33" t="s">
        <v>55</v>
      </c>
      <c r="N33">
        <v>57.935940506987357</v>
      </c>
    </row>
    <row r="34" spans="1:14" x14ac:dyDescent="0.3">
      <c r="M34">
        <v>0</v>
      </c>
      <c r="N34">
        <v>0</v>
      </c>
    </row>
    <row r="35" spans="1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5"/>
  <sheetViews>
    <sheetView workbookViewId="0">
      <selection activeCell="L16" sqref="L16:L19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12</v>
      </c>
      <c r="B3">
        <v>12.363</v>
      </c>
      <c r="C3">
        <v>1696.5</v>
      </c>
      <c r="D3">
        <v>28.5</v>
      </c>
      <c r="E3">
        <v>0.91910000000000003</v>
      </c>
      <c r="F3">
        <v>14.62</v>
      </c>
      <c r="G3">
        <v>0.91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16</v>
      </c>
      <c r="B4">
        <v>23.585000000000001</v>
      </c>
      <c r="C4">
        <v>2496.3000000000002</v>
      </c>
      <c r="D4">
        <v>95.6</v>
      </c>
      <c r="E4">
        <v>0.38469999999999999</v>
      </c>
      <c r="F4">
        <v>21.512</v>
      </c>
      <c r="G4">
        <v>0.74399999999999999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17</v>
      </c>
      <c r="B5">
        <v>26.068999999999999</v>
      </c>
      <c r="C5">
        <f>193.6+1846.7</f>
        <v>2040.3</v>
      </c>
      <c r="D5">
        <v>107.3</v>
      </c>
      <c r="E5">
        <v>0.26679999999999998</v>
      </c>
      <c r="F5">
        <v>15.914</v>
      </c>
      <c r="G5">
        <v>0.96199999999999997</v>
      </c>
      <c r="H5">
        <v>4</v>
      </c>
      <c r="M5" t="s">
        <v>51</v>
      </c>
      <c r="N5">
        <f>'CGA Calibration'!P8</f>
        <v>0.2</v>
      </c>
    </row>
    <row r="6" spans="1:14" ht="14.25" customHeight="1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12</v>
      </c>
      <c r="B8">
        <v>12.339</v>
      </c>
      <c r="C8">
        <v>1685.5</v>
      </c>
      <c r="D8">
        <v>28.3</v>
      </c>
      <c r="E8">
        <v>0.90769999999999995</v>
      </c>
      <c r="F8">
        <v>14.391999999999999</v>
      </c>
      <c r="G8">
        <v>0.90700000000000003</v>
      </c>
      <c r="M8" t="s">
        <v>54</v>
      </c>
      <c r="N8">
        <f>'CGA Calibration'!P11</f>
        <v>150585.9375</v>
      </c>
    </row>
    <row r="9" spans="1:14" x14ac:dyDescent="0.3">
      <c r="A9">
        <v>16</v>
      </c>
      <c r="B9">
        <v>23.61</v>
      </c>
      <c r="C9">
        <v>2497</v>
      </c>
      <c r="D9">
        <v>95.5</v>
      </c>
      <c r="E9">
        <v>0.38700000000000001</v>
      </c>
      <c r="F9">
        <v>21.321000000000002</v>
      </c>
      <c r="G9">
        <v>0.74399999999999999</v>
      </c>
      <c r="M9" t="s">
        <v>55</v>
      </c>
      <c r="N9">
        <f>'CGA Calibration'!P12</f>
        <v>386.37622436100969</v>
      </c>
    </row>
    <row r="10" spans="1:14" x14ac:dyDescent="0.3">
      <c r="A10">
        <v>17</v>
      </c>
      <c r="B10">
        <v>26.087</v>
      </c>
      <c r="C10">
        <f>193.6+1852.3</f>
        <v>2045.8999999999999</v>
      </c>
      <c r="D10">
        <v>108.3</v>
      </c>
      <c r="E10">
        <v>0.2656</v>
      </c>
      <c r="F10">
        <v>15.815</v>
      </c>
      <c r="G10">
        <v>0.95899999999999996</v>
      </c>
      <c r="M10">
        <v>0</v>
      </c>
      <c r="N10">
        <f>'CGA Calibration'!P13</f>
        <v>0</v>
      </c>
    </row>
    <row r="11" spans="1:14" x14ac:dyDescent="0.3">
      <c r="A11" s="15" t="s">
        <v>14</v>
      </c>
      <c r="B11" s="15"/>
      <c r="C11" s="15"/>
      <c r="D11" s="15" t="s">
        <v>26</v>
      </c>
      <c r="E11" s="15"/>
      <c r="F11" s="15"/>
      <c r="G11" s="1" t="s">
        <v>15</v>
      </c>
      <c r="M11" t="s">
        <v>56</v>
      </c>
      <c r="N11">
        <f>'CGA Calibration'!P14</f>
        <v>7.7600295347259598</v>
      </c>
    </row>
    <row r="12" spans="1:14" x14ac:dyDescent="0.3">
      <c r="A12" t="s">
        <v>18</v>
      </c>
      <c r="B12" t="s">
        <v>19</v>
      </c>
      <c r="C12" t="s">
        <v>20</v>
      </c>
      <c r="D12" t="s">
        <v>18</v>
      </c>
      <c r="E12" t="s">
        <v>19</v>
      </c>
      <c r="F12" t="s">
        <v>20</v>
      </c>
      <c r="G12">
        <v>1</v>
      </c>
      <c r="H12" s="1" t="s">
        <v>16</v>
      </c>
      <c r="I12" s="16" t="s">
        <v>17</v>
      </c>
      <c r="J12" s="16"/>
      <c r="K12" s="16"/>
    </row>
    <row r="13" spans="1:14" x14ac:dyDescent="0.3">
      <c r="A13">
        <f>AVERAGE(C4,C8)</f>
        <v>2090.9</v>
      </c>
      <c r="B13">
        <f>AVERAGE(C9,C5)</f>
        <v>2268.65</v>
      </c>
      <c r="C13">
        <f>AVERAGE(C3,C7)</f>
        <v>1696.5</v>
      </c>
      <c r="D13">
        <f>A13/'CGA Calibration'!I17</f>
        <v>41.993903172981746</v>
      </c>
      <c r="E13">
        <f>B13/'CGA Calibration'!I17</f>
        <v>45.563856919692491</v>
      </c>
      <c r="F13">
        <f>C13/'CGA Calibration'!I17</f>
        <v>34.072723101517781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I14" s="2">
        <f>(D13*G12*H13)/1000</f>
        <v>4.4093598331630839E-2</v>
      </c>
      <c r="J14" s="2">
        <f>(E13*H13*G12)/1000</f>
        <v>4.7842049765677117E-2</v>
      </c>
      <c r="K14" s="2">
        <f>(F13*H13*G12)/1000</f>
        <v>3.5776359256593671E-2</v>
      </c>
    </row>
    <row r="16" spans="1:14" ht="15.75" customHeight="1" x14ac:dyDescent="0.3">
      <c r="G16" s="2" t="s">
        <v>18</v>
      </c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19</v>
      </c>
      <c r="H17">
        <f>A13-N6</f>
        <v>-7178.2000000000007</v>
      </c>
      <c r="I17">
        <f>H17^2</f>
        <v>51526555.24000001</v>
      </c>
      <c r="J17">
        <f>N11*SQRT(N4+N5+(I17/(N3^2*N8)))</f>
        <v>7.1038117017085076</v>
      </c>
      <c r="K17" s="2">
        <f>J17*G12*H13</f>
        <v>7.4590022867939334</v>
      </c>
      <c r="L17">
        <f>K17/1000</f>
        <v>7.4590022867939334E-3</v>
      </c>
    </row>
    <row r="18" spans="1:14" x14ac:dyDescent="0.3">
      <c r="G18" s="2" t="s">
        <v>20</v>
      </c>
      <c r="H18">
        <f>B13-N6</f>
        <v>-7000.4500000000007</v>
      </c>
      <c r="I18">
        <f t="shared" ref="I18:I19" si="0">H18^2</f>
        <v>49006300.202500008</v>
      </c>
      <c r="J18">
        <f>N11*SQRT(N4+N5+(I18/(N3^2*N8)))</f>
        <v>7.0751403182125836</v>
      </c>
      <c r="K18" s="2">
        <f>J18*G12*H13</f>
        <v>7.4288973341232127</v>
      </c>
      <c r="L18">
        <f t="shared" ref="L18:L19" si="1">K18/1000</f>
        <v>7.4288973341232129E-3</v>
      </c>
    </row>
    <row r="19" spans="1:14" x14ac:dyDescent="0.3">
      <c r="H19">
        <f>C13-N6</f>
        <v>-7572.6</v>
      </c>
      <c r="I19">
        <f t="shared" si="0"/>
        <v>57344270.760000005</v>
      </c>
      <c r="J19">
        <f>N11*SQRT(N4+N5+(I19/(N3^2*N8)))</f>
        <v>7.1695584447550802</v>
      </c>
      <c r="K19" s="2">
        <f>J19*G12*H13</f>
        <v>7.5280363669928345</v>
      </c>
      <c r="L19">
        <f t="shared" si="1"/>
        <v>7.5280363669928347E-3</v>
      </c>
    </row>
    <row r="24" spans="1:14" x14ac:dyDescent="0.3">
      <c r="A24" t="s">
        <v>25</v>
      </c>
    </row>
    <row r="25" spans="1:14" x14ac:dyDescent="0.3">
      <c r="A25" t="s">
        <v>7</v>
      </c>
      <c r="B25" t="s">
        <v>8</v>
      </c>
      <c r="C25" t="s">
        <v>0</v>
      </c>
      <c r="D25" t="s">
        <v>9</v>
      </c>
      <c r="E25" t="s">
        <v>10</v>
      </c>
      <c r="F25" t="s">
        <v>11</v>
      </c>
      <c r="G25" t="s">
        <v>12</v>
      </c>
    </row>
    <row r="26" spans="1:14" x14ac:dyDescent="0.3">
      <c r="A26">
        <v>26</v>
      </c>
      <c r="B26">
        <v>20.686</v>
      </c>
      <c r="C26">
        <v>4653.8</v>
      </c>
      <c r="D26">
        <v>321.5</v>
      </c>
      <c r="E26">
        <v>0.22289999999999999</v>
      </c>
      <c r="F26">
        <v>7.8090000000000002</v>
      </c>
      <c r="G26">
        <v>1.6719999999999999</v>
      </c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A28" t="s">
        <v>7</v>
      </c>
      <c r="B28" t="s">
        <v>8</v>
      </c>
      <c r="C28" t="s">
        <v>0</v>
      </c>
      <c r="D28" t="s">
        <v>9</v>
      </c>
      <c r="E28" t="s">
        <v>10</v>
      </c>
      <c r="F28" t="s">
        <v>11</v>
      </c>
      <c r="G28" t="s">
        <v>12</v>
      </c>
      <c r="M28" t="s">
        <v>50</v>
      </c>
      <c r="N28">
        <v>0.5</v>
      </c>
    </row>
    <row r="29" spans="1:14" x14ac:dyDescent="0.3">
      <c r="A29">
        <v>25</v>
      </c>
      <c r="B29">
        <v>20.73</v>
      </c>
      <c r="C29">
        <v>4648</v>
      </c>
      <c r="D29">
        <v>321.89999999999998</v>
      </c>
      <c r="E29">
        <v>0.2225</v>
      </c>
      <c r="F29">
        <v>7.8339999999999996</v>
      </c>
      <c r="G29">
        <v>1.673</v>
      </c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A31" s="1" t="s">
        <v>14</v>
      </c>
      <c r="B31" s="3" t="s">
        <v>17</v>
      </c>
      <c r="C31" t="s">
        <v>21</v>
      </c>
      <c r="D31" t="s">
        <v>22</v>
      </c>
      <c r="E31" s="2" t="s">
        <v>23</v>
      </c>
      <c r="F31" s="2"/>
      <c r="M31" t="s">
        <v>53</v>
      </c>
      <c r="N31">
        <v>0.21250000000000002</v>
      </c>
    </row>
    <row r="32" spans="1:14" x14ac:dyDescent="0.3">
      <c r="A32">
        <f>AVERAGE(C26,C29)</f>
        <v>4650.8999999999996</v>
      </c>
      <c r="B32">
        <v>0.34002919088387246</v>
      </c>
      <c r="C32">
        <f>A32-N30</f>
        <v>1733.5333333333333</v>
      </c>
      <c r="D32">
        <f>C32^2</f>
        <v>3005137.8177777776</v>
      </c>
      <c r="E32">
        <f>N35*SQRT(N28+N29+(D32/(N27^2*N32)))</f>
        <v>3.6688422331237853E-3</v>
      </c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1:C11"/>
    <mergeCell ref="D11:F11"/>
    <mergeCell ref="I12:K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35"/>
  <sheetViews>
    <sheetView zoomScale="68" zoomScaleNormal="68" workbookViewId="0">
      <selection activeCell="F14" sqref="F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2" max="12" width="15.441406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14</v>
      </c>
      <c r="B3">
        <v>12.425000000000001</v>
      </c>
      <c r="C3">
        <v>1104</v>
      </c>
      <c r="D3">
        <v>18.5</v>
      </c>
      <c r="E3">
        <v>0.87990000000000002</v>
      </c>
      <c r="F3">
        <v>10.148999999999999</v>
      </c>
      <c r="G3">
        <v>0.91200000000000003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19</v>
      </c>
      <c r="B4">
        <v>23.704000000000001</v>
      </c>
      <c r="C4">
        <v>1831.6</v>
      </c>
      <c r="D4">
        <v>71.900000000000006</v>
      </c>
      <c r="E4">
        <v>0.37719999999999998</v>
      </c>
      <c r="F4">
        <v>16.838000000000001</v>
      </c>
      <c r="G4">
        <v>0.76600000000000001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20</v>
      </c>
      <c r="B5">
        <v>26.167999999999999</v>
      </c>
      <c r="C5">
        <f>200.2+1435.2</f>
        <v>1635.4</v>
      </c>
      <c r="D5">
        <v>80.900000000000006</v>
      </c>
      <c r="E5">
        <v>0.27300000000000002</v>
      </c>
      <c r="F5">
        <v>13.194000000000001</v>
      </c>
      <c r="G5">
        <v>0.91800000000000004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15</v>
      </c>
      <c r="B8">
        <v>12.391</v>
      </c>
      <c r="C8">
        <v>1089.5999999999999</v>
      </c>
      <c r="D8">
        <v>18.3</v>
      </c>
      <c r="E8">
        <v>0.90069999999999995</v>
      </c>
      <c r="F8">
        <v>9.9350000000000005</v>
      </c>
      <c r="G8">
        <v>0.9</v>
      </c>
      <c r="M8" t="s">
        <v>54</v>
      </c>
      <c r="N8">
        <f>'CGA Calibration'!P11</f>
        <v>150585.9375</v>
      </c>
    </row>
    <row r="9" spans="1:14" x14ac:dyDescent="0.3">
      <c r="A9">
        <v>20</v>
      </c>
      <c r="B9">
        <v>23.652000000000001</v>
      </c>
      <c r="C9">
        <v>1827.4</v>
      </c>
      <c r="D9">
        <v>71.400000000000006</v>
      </c>
      <c r="E9">
        <v>0.37859999999999999</v>
      </c>
      <c r="F9">
        <v>16.661999999999999</v>
      </c>
      <c r="G9">
        <v>0.76400000000000001</v>
      </c>
      <c r="M9" t="s">
        <v>55</v>
      </c>
      <c r="N9">
        <f>'CGA Calibration'!P12</f>
        <v>386.37622436100969</v>
      </c>
    </row>
    <row r="10" spans="1:14" x14ac:dyDescent="0.3">
      <c r="A10">
        <v>21</v>
      </c>
      <c r="B10">
        <v>26.117000000000001</v>
      </c>
      <c r="C10">
        <f>200+1423.9</f>
        <v>1623.9</v>
      </c>
      <c r="D10">
        <v>80.400000000000006</v>
      </c>
      <c r="E10">
        <v>0.27460000000000001</v>
      </c>
      <c r="F10">
        <v>12.983000000000001</v>
      </c>
      <c r="G10">
        <v>0.92500000000000004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1" t="s">
        <v>15</v>
      </c>
      <c r="H12" s="1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1829.5</v>
      </c>
      <c r="B14">
        <f>AVERAGE(C10,C5)</f>
        <v>1629.65</v>
      </c>
      <c r="C14">
        <f>AVERAGE(C3,C8)</f>
        <v>1096.8</v>
      </c>
      <c r="D14">
        <f>A14/'CGA Calibration'!I17</f>
        <v>36.743912121560136</v>
      </c>
      <c r="E14">
        <f>B14/'CGA Calibration'!I17</f>
        <v>32.730099146707012</v>
      </c>
      <c r="F14" s="18">
        <f>C14/'CGA Calibration'!I17</f>
        <v>22.028271557762864</v>
      </c>
      <c r="I14" s="2">
        <f>(D14*G13*H13)/1000</f>
        <v>3.8581107727638141E-2</v>
      </c>
      <c r="J14" s="2">
        <f>(E14*H13*G13)/1000</f>
        <v>3.4366604104042367E-2</v>
      </c>
      <c r="K14" s="2">
        <f>(F14*H13*G13)/1000</f>
        <v>2.3129685135651008E-2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-7439.6</v>
      </c>
      <c r="I17">
        <f>H17^2</f>
        <v>55347648.160000004</v>
      </c>
      <c r="J17">
        <f>N11*SQRT(N4+N5+(I17/(N3^2*N8)))</f>
        <v>7.147062525397101</v>
      </c>
      <c r="K17" s="2">
        <f>J17*G13*H13</f>
        <v>7.5044156516669567</v>
      </c>
      <c r="L17">
        <f>K17/1000</f>
        <v>7.5044156516669569E-3</v>
      </c>
    </row>
    <row r="18" spans="1:14" x14ac:dyDescent="0.3">
      <c r="G18" s="2" t="s">
        <v>19</v>
      </c>
      <c r="H18">
        <f>B14-N6</f>
        <v>-7639.4500000000007</v>
      </c>
      <c r="I18">
        <f t="shared" ref="I18:I19" si="0">H18^2</f>
        <v>58361196.30250001</v>
      </c>
      <c r="J18">
        <f>N11*SQRT(N4+N5+(I18/(N3^2*N8)))</f>
        <v>7.1809890434221169</v>
      </c>
      <c r="K18" s="2">
        <f>J18*G13*H13</f>
        <v>7.5400384955932234</v>
      </c>
      <c r="L18">
        <f t="shared" ref="L18:L19" si="1">K18/1000</f>
        <v>7.5400384955932234E-3</v>
      </c>
    </row>
    <row r="19" spans="1:14" x14ac:dyDescent="0.3">
      <c r="G19" s="2" t="s">
        <v>20</v>
      </c>
      <c r="H19">
        <f>C14-N6</f>
        <v>-8172.3</v>
      </c>
      <c r="I19">
        <f t="shared" si="0"/>
        <v>66786487.290000007</v>
      </c>
      <c r="J19">
        <f>N11*SQRT(N4+N5+(I19/(N3^2*N8)))</f>
        <v>7.2750014879065654</v>
      </c>
      <c r="K19" s="2">
        <f>J19*G13*H13</f>
        <v>7.638751562301894</v>
      </c>
      <c r="L19">
        <f t="shared" si="1"/>
        <v>7.6387515623018943E-3</v>
      </c>
    </row>
    <row r="25" spans="1:14" x14ac:dyDescent="0.3">
      <c r="A25" t="s">
        <v>25</v>
      </c>
    </row>
    <row r="26" spans="1:14" x14ac:dyDescent="0.3">
      <c r="A26" t="s">
        <v>7</v>
      </c>
      <c r="B26" t="s">
        <v>8</v>
      </c>
      <c r="C26" t="s">
        <v>0</v>
      </c>
      <c r="D26" t="s">
        <v>9</v>
      </c>
      <c r="E26" t="s">
        <v>10</v>
      </c>
      <c r="F26" t="s">
        <v>11</v>
      </c>
      <c r="G26" t="s">
        <v>12</v>
      </c>
      <c r="M26" t="s">
        <v>48</v>
      </c>
      <c r="N26">
        <v>85.133198199906218</v>
      </c>
    </row>
    <row r="27" spans="1:14" x14ac:dyDescent="0.3">
      <c r="A27">
        <v>26</v>
      </c>
      <c r="B27">
        <v>20.686</v>
      </c>
      <c r="C27">
        <v>4653.8</v>
      </c>
      <c r="D27">
        <v>321.5</v>
      </c>
      <c r="E27">
        <v>0.22289999999999999</v>
      </c>
      <c r="F27">
        <v>7.8090000000000002</v>
      </c>
      <c r="G27">
        <v>1.6719999999999999</v>
      </c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A29" t="s">
        <v>7</v>
      </c>
      <c r="B29" t="s">
        <v>8</v>
      </c>
      <c r="C29" t="s">
        <v>0</v>
      </c>
      <c r="D29" t="s">
        <v>9</v>
      </c>
      <c r="E29" t="s">
        <v>10</v>
      </c>
      <c r="F29" t="s">
        <v>11</v>
      </c>
      <c r="G29" t="s">
        <v>12</v>
      </c>
      <c r="M29" t="s">
        <v>51</v>
      </c>
      <c r="N29">
        <v>0.16666666666666666</v>
      </c>
    </row>
    <row r="30" spans="1:14" x14ac:dyDescent="0.3">
      <c r="A30">
        <v>25</v>
      </c>
      <c r="B30">
        <v>20.73</v>
      </c>
      <c r="C30">
        <v>4648</v>
      </c>
      <c r="D30">
        <v>321.89999999999998</v>
      </c>
      <c r="E30">
        <v>0.2225</v>
      </c>
      <c r="F30">
        <v>7.8339999999999996</v>
      </c>
      <c r="G30">
        <v>1.673</v>
      </c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1" t="s">
        <v>14</v>
      </c>
      <c r="B32" s="3" t="s">
        <v>17</v>
      </c>
      <c r="C32" t="s">
        <v>21</v>
      </c>
      <c r="D32" t="s">
        <v>22</v>
      </c>
      <c r="E32" s="2" t="s">
        <v>23</v>
      </c>
      <c r="F32" s="2"/>
      <c r="M32" t="s">
        <v>54</v>
      </c>
      <c r="N32">
        <v>0.19218750000000001</v>
      </c>
    </row>
    <row r="33" spans="1:14" x14ac:dyDescent="0.3">
      <c r="A33">
        <f>AVERAGE(C27,C30)</f>
        <v>4650.8999999999996</v>
      </c>
      <c r="B33">
        <v>0.34002919088387246</v>
      </c>
      <c r="C33">
        <f>A33-N30</f>
        <v>1733.5333333333333</v>
      </c>
      <c r="D33">
        <f>C33^2</f>
        <v>3005137.8177777776</v>
      </c>
      <c r="E33">
        <f>N35*SQRT(N28+N29+(D33/(N27^2*N32)))</f>
        <v>3.6688422331237853E-3</v>
      </c>
      <c r="M33" t="s">
        <v>55</v>
      </c>
      <c r="N33">
        <v>57.935940506987357</v>
      </c>
    </row>
    <row r="34" spans="1:14" x14ac:dyDescent="0.3">
      <c r="M34">
        <v>0</v>
      </c>
      <c r="N34">
        <v>0</v>
      </c>
    </row>
    <row r="35" spans="1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35"/>
  <sheetViews>
    <sheetView workbookViewId="0">
      <selection activeCell="L16" sqref="L16:L19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6.10937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10</v>
      </c>
      <c r="B3">
        <v>12.385</v>
      </c>
      <c r="C3">
        <v>2029.7</v>
      </c>
      <c r="D3">
        <v>34.200000000000003</v>
      </c>
      <c r="E3">
        <v>0.88819999999999999</v>
      </c>
      <c r="F3">
        <v>16.739999999999998</v>
      </c>
      <c r="G3">
        <v>0.91100000000000003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14</v>
      </c>
      <c r="B4">
        <v>23.721</v>
      </c>
      <c r="C4">
        <v>2754.5</v>
      </c>
      <c r="D4">
        <v>103</v>
      </c>
      <c r="E4">
        <v>0.39200000000000002</v>
      </c>
      <c r="F4">
        <v>22.718</v>
      </c>
      <c r="G4">
        <v>0.73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15</v>
      </c>
      <c r="B5">
        <v>26.186</v>
      </c>
      <c r="C5">
        <f>307.1+2042.7</f>
        <v>2349.8000000000002</v>
      </c>
      <c r="D5">
        <v>118.3</v>
      </c>
      <c r="E5">
        <v>0.26740000000000003</v>
      </c>
      <c r="F5">
        <v>16.847000000000001</v>
      </c>
      <c r="G5">
        <v>0.95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8</v>
      </c>
      <c r="B8">
        <v>12.441000000000001</v>
      </c>
      <c r="C8">
        <v>2033.2</v>
      </c>
      <c r="D8">
        <v>33.799999999999997</v>
      </c>
      <c r="E8">
        <v>0.92749999999999999</v>
      </c>
      <c r="F8">
        <v>16.457999999999998</v>
      </c>
      <c r="G8">
        <v>0.89500000000000002</v>
      </c>
      <c r="M8" t="s">
        <v>54</v>
      </c>
      <c r="N8">
        <f>'CGA Calibration'!P11</f>
        <v>150585.9375</v>
      </c>
    </row>
    <row r="9" spans="1:14" x14ac:dyDescent="0.3">
      <c r="A9">
        <v>12</v>
      </c>
      <c r="B9">
        <v>23.792999999999999</v>
      </c>
      <c r="C9">
        <v>2743.8</v>
      </c>
      <c r="D9">
        <v>103.7</v>
      </c>
      <c r="E9">
        <v>0.38850000000000001</v>
      </c>
      <c r="F9">
        <v>22.209</v>
      </c>
      <c r="G9">
        <v>0.72799999999999998</v>
      </c>
      <c r="M9" t="s">
        <v>55</v>
      </c>
      <c r="N9">
        <f>'CGA Calibration'!P12</f>
        <v>386.37622436100969</v>
      </c>
    </row>
    <row r="10" spans="1:14" x14ac:dyDescent="0.3">
      <c r="A10">
        <v>13</v>
      </c>
      <c r="B10">
        <v>26.233000000000001</v>
      </c>
      <c r="C10">
        <f>301.1+2029</f>
        <v>2330.1</v>
      </c>
      <c r="D10">
        <v>119.7</v>
      </c>
      <c r="E10">
        <v>0.26379999999999998</v>
      </c>
      <c r="F10">
        <v>16.422999999999998</v>
      </c>
      <c r="G10">
        <v>0.95099999999999996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1" t="s">
        <v>15</v>
      </c>
      <c r="H12" s="1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2749.15</v>
      </c>
      <c r="B14">
        <f>AVERAGE(C10,C5)</f>
        <v>2339.9499999999998</v>
      </c>
      <c r="C14">
        <f>AVERAGE(C3,C8)</f>
        <v>2031.45</v>
      </c>
      <c r="D14">
        <f>A14/'CGA Calibration'!I17</f>
        <v>55.214280409394405</v>
      </c>
      <c r="E14">
        <f>B14/'CGA Calibration'!I17</f>
        <v>46.995855243970837</v>
      </c>
      <c r="F14">
        <f>C14/'CGA Calibration'!I17</f>
        <v>40.799901765150778</v>
      </c>
      <c r="I14" s="2">
        <f>(D14*G13*H13)/1000</f>
        <v>5.7974994429864125E-2</v>
      </c>
      <c r="J14" s="2">
        <f>(E14*H13*G13)/1000</f>
        <v>4.9345648006169383E-2</v>
      </c>
      <c r="K14" s="2">
        <f>(F14*H13*G13)/1000</f>
        <v>4.2839896853408319E-2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67</v>
      </c>
      <c r="L16" t="s">
        <v>69</v>
      </c>
    </row>
    <row r="17" spans="1:14" x14ac:dyDescent="0.3">
      <c r="G17" s="2" t="s">
        <v>18</v>
      </c>
      <c r="H17">
        <f>A14-N6</f>
        <v>-6519.9500000000007</v>
      </c>
      <c r="I17">
        <f>H17^2</f>
        <v>42509748.002500013</v>
      </c>
      <c r="J17">
        <f>N11*SQRT(N4+N5+(I17/(N3^2*N8)))</f>
        <v>7.0006916126845624</v>
      </c>
      <c r="K17" s="2">
        <f>J17*G13*H13</f>
        <v>7.3507261933187911</v>
      </c>
      <c r="L17">
        <f>K17/1000</f>
        <v>7.3507261933187908E-3</v>
      </c>
    </row>
    <row r="18" spans="1:14" x14ac:dyDescent="0.3">
      <c r="G18" s="2" t="s">
        <v>19</v>
      </c>
      <c r="H18">
        <f>B14-N6</f>
        <v>-6929.1500000000005</v>
      </c>
      <c r="I18">
        <f t="shared" ref="I18:I19" si="0">H18^2</f>
        <v>48013119.722500004</v>
      </c>
      <c r="J18">
        <f>N11*SQRT(N4+N5+(I18/(N3^2*N8)))</f>
        <v>7.0638095511406185</v>
      </c>
      <c r="K18" s="2">
        <f>J18*G13*H13</f>
        <v>7.4170000286976494</v>
      </c>
      <c r="L18">
        <f t="shared" ref="L18:L19" si="1">K18/1000</f>
        <v>7.4170000286976493E-3</v>
      </c>
    </row>
    <row r="19" spans="1:14" x14ac:dyDescent="0.3">
      <c r="G19" s="2" t="s">
        <v>20</v>
      </c>
      <c r="H19">
        <f>C14-N6</f>
        <v>-7237.6500000000005</v>
      </c>
      <c r="I19">
        <f t="shared" si="0"/>
        <v>52383577.522500008</v>
      </c>
      <c r="J19">
        <f>N11*SQRT(N4+N5+(I19/(N3^2*N8)))</f>
        <v>7.1135351843896766</v>
      </c>
      <c r="K19" s="2">
        <f>J19*G13*H13</f>
        <v>7.4692119436091611</v>
      </c>
      <c r="L19">
        <f t="shared" si="1"/>
        <v>7.4692119436091612E-3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1"/>
      <c r="B32" s="3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5"/>
  <sheetViews>
    <sheetView workbookViewId="0">
      <selection activeCell="I14" sqref="I14:K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13</v>
      </c>
      <c r="B3">
        <v>12.503</v>
      </c>
      <c r="C3">
        <v>2113.6</v>
      </c>
      <c r="D3">
        <v>35.200000000000003</v>
      </c>
      <c r="E3">
        <v>0.90490000000000004</v>
      </c>
      <c r="F3">
        <v>8.9670000000000005</v>
      </c>
      <c r="G3">
        <v>0.93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20</v>
      </c>
      <c r="B4">
        <v>23.975999999999999</v>
      </c>
      <c r="C4">
        <v>3521.2</v>
      </c>
      <c r="D4">
        <v>137.6</v>
      </c>
      <c r="E4">
        <v>0.3805</v>
      </c>
      <c r="F4">
        <v>14.94</v>
      </c>
      <c r="G4">
        <v>0.77600000000000002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22</v>
      </c>
      <c r="B5">
        <v>26.431000000000001</v>
      </c>
      <c r="C5">
        <f>445.4+2496.9</f>
        <v>2942.3</v>
      </c>
      <c r="D5">
        <v>140.5</v>
      </c>
      <c r="E5">
        <v>0.27529999999999999</v>
      </c>
      <c r="F5">
        <v>10.593999999999999</v>
      </c>
      <c r="G5">
        <v>0.89100000000000001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15</v>
      </c>
      <c r="B8">
        <v>12.194000000000001</v>
      </c>
      <c r="C8">
        <v>2190.8000000000002</v>
      </c>
      <c r="D8">
        <v>35.200000000000003</v>
      </c>
      <c r="E8">
        <v>0.94189999999999996</v>
      </c>
      <c r="F8">
        <v>8.8879999999999999</v>
      </c>
      <c r="G8">
        <v>0.89500000000000002</v>
      </c>
      <c r="M8" t="s">
        <v>54</v>
      </c>
      <c r="N8">
        <f>'CGA Calibration'!P11</f>
        <v>150585.9375</v>
      </c>
    </row>
    <row r="9" spans="1:14" x14ac:dyDescent="0.3">
      <c r="A9">
        <v>21</v>
      </c>
      <c r="B9">
        <v>23.786000000000001</v>
      </c>
      <c r="C9">
        <v>3461</v>
      </c>
      <c r="D9">
        <v>132</v>
      </c>
      <c r="E9">
        <v>0.38800000000000001</v>
      </c>
      <c r="F9">
        <v>14.042</v>
      </c>
      <c r="G9">
        <v>0.751</v>
      </c>
      <c r="M9" t="s">
        <v>55</v>
      </c>
      <c r="N9">
        <f>'CGA Calibration'!P12</f>
        <v>386.37622436100969</v>
      </c>
    </row>
    <row r="10" spans="1:14" x14ac:dyDescent="0.3">
      <c r="A10">
        <v>23</v>
      </c>
      <c r="B10">
        <v>26.266999999999999</v>
      </c>
      <c r="C10">
        <f>431.1+2431.7</f>
        <v>2862.7999999999997</v>
      </c>
      <c r="D10">
        <v>137.1</v>
      </c>
      <c r="E10">
        <v>0.27489999999999998</v>
      </c>
      <c r="F10">
        <v>9.8659999999999997</v>
      </c>
      <c r="G10">
        <v>0.89700000000000002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3491.1</v>
      </c>
      <c r="B14">
        <f>AVERAGE(C10,C5)</f>
        <v>2902.55</v>
      </c>
      <c r="C14">
        <f>AVERAGE(C3,C8)</f>
        <v>2152.1999999999998</v>
      </c>
      <c r="D14">
        <f>A14/'CGA Calibration'!I17</f>
        <v>70.115699156916421</v>
      </c>
      <c r="E14">
        <f>B14/'CGA Calibration'!I17</f>
        <v>58.295185640029729</v>
      </c>
      <c r="F14">
        <f>C14/'CGA Calibration'!I17</f>
        <v>43.225060217557655</v>
      </c>
      <c r="I14" s="2">
        <f>(D14*G13*H13)/1000</f>
        <v>7.3621484114762242E-2</v>
      </c>
      <c r="J14" s="2">
        <f>(E14*H13*G13)/1000</f>
        <v>6.1209944922031218E-2</v>
      </c>
      <c r="K14" s="2">
        <f>(F14*H13*G13)/1000</f>
        <v>4.5386313228435539E-2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-5778</v>
      </c>
      <c r="I17">
        <f>H17^2</f>
        <v>33385284</v>
      </c>
      <c r="J17">
        <f>N11*SQRT(N4+N5+(I17/(N3^2*N8)))</f>
        <v>6.894770469388857</v>
      </c>
      <c r="K17" s="2">
        <f>J17*G13*H13</f>
        <v>7.2395089928583003</v>
      </c>
      <c r="L17">
        <f>K17/1000</f>
        <v>7.2395089928583003E-3</v>
      </c>
    </row>
    <row r="18" spans="1:14" x14ac:dyDescent="0.3">
      <c r="G18" s="2" t="s">
        <v>19</v>
      </c>
      <c r="H18">
        <f>B14-N6</f>
        <v>-6366.55</v>
      </c>
      <c r="I18">
        <f t="shared" ref="I18:I19" si="0">H18^2</f>
        <v>40532958.902500004</v>
      </c>
      <c r="J18">
        <f>N11*SQRT(N4+N5+(I18/(N3^2*N8)))</f>
        <v>6.9778805343174755</v>
      </c>
      <c r="K18" s="2">
        <f>J18*G13*H13</f>
        <v>7.3267745610333499</v>
      </c>
      <c r="L18">
        <f t="shared" ref="L18:L19" si="1">K18/1000</f>
        <v>7.3267745610333503E-3</v>
      </c>
    </row>
    <row r="19" spans="1:14" x14ac:dyDescent="0.3">
      <c r="G19" s="2" t="s">
        <v>20</v>
      </c>
      <c r="H19">
        <f>C14-N6</f>
        <v>-7116.9000000000005</v>
      </c>
      <c r="I19">
        <f t="shared" si="0"/>
        <v>50650265.610000007</v>
      </c>
      <c r="J19">
        <f>N11*SQRT(N4+N5+(I19/(N3^2*N8)))</f>
        <v>7.0938558375765997</v>
      </c>
      <c r="K19" s="2">
        <f>J19*G13*H13</f>
        <v>7.4485486294554297</v>
      </c>
      <c r="L19">
        <f t="shared" si="1"/>
        <v>7.4485486294554298E-3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35"/>
  <sheetViews>
    <sheetView topLeftCell="B1" workbookViewId="0">
      <selection activeCell="F14" sqref="F14"/>
    </sheetView>
  </sheetViews>
  <sheetFormatPr defaultRowHeight="14.4" x14ac:dyDescent="0.3"/>
  <cols>
    <col min="1" max="1" width="13.6640625" customWidth="1"/>
    <col min="2" max="2" width="28" bestFit="1" customWidth="1"/>
    <col min="3" max="3" width="20.88671875" customWidth="1"/>
    <col min="4" max="4" width="28" bestFit="1" customWidth="1"/>
    <col min="5" max="5" width="12.109375" customWidth="1"/>
    <col min="6" max="6" width="13.6640625" customWidth="1"/>
    <col min="7" max="7" width="17.88671875" customWidth="1"/>
    <col min="8" max="8" width="24.6640625" customWidth="1"/>
    <col min="9" max="9" width="14.6640625" bestFit="1" customWidth="1"/>
    <col min="10" max="10" width="14.6640625" customWidth="1"/>
    <col min="11" max="11" width="11.33203125" customWidth="1"/>
    <col min="13" max="13" width="30.44140625" bestFit="1" customWidth="1"/>
    <col min="14" max="14" width="9.109375" customWidth="1"/>
  </cols>
  <sheetData>
    <row r="1" spans="1:14" x14ac:dyDescent="0.3">
      <c r="A1" t="s">
        <v>6</v>
      </c>
    </row>
    <row r="2" spans="1:14" x14ac:dyDescent="0.3">
      <c r="A2" t="s">
        <v>7</v>
      </c>
      <c r="B2" t="s">
        <v>8</v>
      </c>
      <c r="C2" t="s">
        <v>0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M2" t="s">
        <v>48</v>
      </c>
      <c r="N2">
        <f>'CGA Calibration'!P5</f>
        <v>0.67028778587684146</v>
      </c>
    </row>
    <row r="3" spans="1:14" x14ac:dyDescent="0.3">
      <c r="A3">
        <v>10</v>
      </c>
      <c r="B3">
        <v>12.641999999999999</v>
      </c>
      <c r="C3">
        <v>1043.9000000000001</v>
      </c>
      <c r="D3">
        <v>17.100000000000001</v>
      </c>
      <c r="E3">
        <v>0.92420000000000002</v>
      </c>
      <c r="F3">
        <v>16.463999999999999</v>
      </c>
      <c r="G3">
        <v>0.95199999999999996</v>
      </c>
      <c r="H3">
        <v>5</v>
      </c>
      <c r="M3" t="s">
        <v>49</v>
      </c>
      <c r="N3">
        <f>'CGA Calibration'!P6</f>
        <v>49.790561058045547</v>
      </c>
    </row>
    <row r="4" spans="1:14" x14ac:dyDescent="0.3">
      <c r="A4">
        <v>14</v>
      </c>
      <c r="B4">
        <v>23.888999999999999</v>
      </c>
      <c r="C4">
        <v>1452.4</v>
      </c>
      <c r="D4">
        <v>55.9</v>
      </c>
      <c r="E4">
        <v>0.38109999999999999</v>
      </c>
      <c r="F4">
        <v>22.905999999999999</v>
      </c>
      <c r="G4">
        <v>0.747</v>
      </c>
      <c r="H4">
        <v>3</v>
      </c>
      <c r="M4" t="s">
        <v>50</v>
      </c>
      <c r="N4">
        <f>'CGA Calibration'!P7</f>
        <v>0.5</v>
      </c>
    </row>
    <row r="5" spans="1:14" x14ac:dyDescent="0.3">
      <c r="A5">
        <v>15</v>
      </c>
      <c r="B5">
        <v>26.347999999999999</v>
      </c>
      <c r="C5">
        <f>288.2+1048.5</f>
        <v>1336.7</v>
      </c>
      <c r="D5">
        <v>62.3</v>
      </c>
      <c r="E5">
        <v>0.26040000000000002</v>
      </c>
      <c r="F5">
        <v>16.536000000000001</v>
      </c>
      <c r="G5">
        <v>0.99</v>
      </c>
      <c r="H5">
        <v>4</v>
      </c>
      <c r="M5" t="s">
        <v>51</v>
      </c>
      <c r="N5">
        <f>'CGA Calibration'!P8</f>
        <v>0.2</v>
      </c>
    </row>
    <row r="6" spans="1:14" x14ac:dyDescent="0.3">
      <c r="M6" t="s">
        <v>52</v>
      </c>
      <c r="N6">
        <f>'CGA Calibration'!P9</f>
        <v>9269.1</v>
      </c>
    </row>
    <row r="7" spans="1:14" x14ac:dyDescent="0.3">
      <c r="A7" t="s">
        <v>7</v>
      </c>
      <c r="B7" t="s">
        <v>8</v>
      </c>
      <c r="C7" t="s">
        <v>0</v>
      </c>
      <c r="D7" t="s">
        <v>9</v>
      </c>
      <c r="E7" t="s">
        <v>10</v>
      </c>
      <c r="F7" t="s">
        <v>11</v>
      </c>
      <c r="G7" t="s">
        <v>12</v>
      </c>
      <c r="M7" t="s">
        <v>53</v>
      </c>
      <c r="N7">
        <f>'CGA Calibration'!P10</f>
        <v>190.625</v>
      </c>
    </row>
    <row r="8" spans="1:14" x14ac:dyDescent="0.3">
      <c r="A8">
        <v>11</v>
      </c>
      <c r="B8">
        <v>12.593999999999999</v>
      </c>
      <c r="C8">
        <v>1027.4000000000001</v>
      </c>
      <c r="D8">
        <v>17</v>
      </c>
      <c r="E8">
        <v>0.88649999999999995</v>
      </c>
      <c r="F8">
        <v>16.358000000000001</v>
      </c>
      <c r="G8">
        <v>0.93</v>
      </c>
      <c r="M8" t="s">
        <v>54</v>
      </c>
      <c r="N8">
        <f>'CGA Calibration'!P11</f>
        <v>150585.9375</v>
      </c>
    </row>
    <row r="9" spans="1:14" x14ac:dyDescent="0.3">
      <c r="A9">
        <v>14</v>
      </c>
      <c r="B9">
        <v>23.847999999999999</v>
      </c>
      <c r="C9">
        <v>1448</v>
      </c>
      <c r="D9">
        <v>55.4</v>
      </c>
      <c r="E9">
        <v>0.38269999999999998</v>
      </c>
      <c r="F9">
        <v>23.053999999999998</v>
      </c>
      <c r="G9">
        <v>0.74399999999999999</v>
      </c>
      <c r="M9" t="s">
        <v>55</v>
      </c>
      <c r="N9">
        <f>'CGA Calibration'!P12</f>
        <v>386.37622436100969</v>
      </c>
    </row>
    <row r="10" spans="1:14" x14ac:dyDescent="0.3">
      <c r="A10">
        <v>15</v>
      </c>
      <c r="B10">
        <v>26.303999999999998</v>
      </c>
      <c r="C10">
        <f>286.5+1047.7</f>
        <v>1334.2</v>
      </c>
      <c r="D10">
        <v>62.2</v>
      </c>
      <c r="E10">
        <v>0.26240000000000002</v>
      </c>
      <c r="F10">
        <v>16.681000000000001</v>
      </c>
      <c r="G10">
        <v>0.98699999999999999</v>
      </c>
      <c r="M10">
        <v>0</v>
      </c>
      <c r="N10">
        <f>'CGA Calibration'!P13</f>
        <v>0</v>
      </c>
    </row>
    <row r="11" spans="1:14" x14ac:dyDescent="0.3">
      <c r="M11" t="s">
        <v>56</v>
      </c>
      <c r="N11">
        <f>'CGA Calibration'!P14</f>
        <v>7.7600295347259598</v>
      </c>
    </row>
    <row r="12" spans="1:14" x14ac:dyDescent="0.3">
      <c r="A12" s="15" t="s">
        <v>14</v>
      </c>
      <c r="B12" s="15"/>
      <c r="C12" s="15"/>
      <c r="D12" s="15" t="s">
        <v>26</v>
      </c>
      <c r="E12" s="15"/>
      <c r="F12" s="15"/>
      <c r="G12" s="6" t="s">
        <v>15</v>
      </c>
      <c r="H12" s="6" t="s">
        <v>16</v>
      </c>
      <c r="I12" s="16" t="s">
        <v>17</v>
      </c>
      <c r="J12" s="16"/>
      <c r="K12" s="16"/>
    </row>
    <row r="13" spans="1:14" x14ac:dyDescent="0.3">
      <c r="A13" t="s">
        <v>18</v>
      </c>
      <c r="B13" t="s">
        <v>19</v>
      </c>
      <c r="C13" t="s">
        <v>20</v>
      </c>
      <c r="D13" t="s">
        <v>18</v>
      </c>
      <c r="E13" t="s">
        <v>19</v>
      </c>
      <c r="F13" t="s">
        <v>20</v>
      </c>
      <c r="G13">
        <v>1</v>
      </c>
      <c r="H13">
        <v>1.05</v>
      </c>
      <c r="I13" s="2" t="s">
        <v>18</v>
      </c>
      <c r="J13" s="2" t="s">
        <v>19</v>
      </c>
      <c r="K13" s="2" t="s">
        <v>20</v>
      </c>
    </row>
    <row r="14" spans="1:14" x14ac:dyDescent="0.3">
      <c r="A14">
        <f>AVERAGE(C4,C9)</f>
        <v>1450.2</v>
      </c>
      <c r="B14">
        <f>AVERAGE(C10,C5)</f>
        <v>1335.45</v>
      </c>
      <c r="C14">
        <f>AVERAGE(C3,C8)</f>
        <v>1035.6500000000001</v>
      </c>
      <c r="D14">
        <f>A14/'CGA Calibration'!I17</f>
        <v>29.126002382446853</v>
      </c>
      <c r="E14">
        <f>B14/'CGA Calibration'!I17</f>
        <v>26.821348697861431</v>
      </c>
      <c r="F14" s="18">
        <f>C14/'CGA Calibration'!I17</f>
        <v>20.800127132382489</v>
      </c>
      <c r="I14" s="2">
        <f>(D14*G13*H13)/1000</f>
        <v>3.0582302501569195E-2</v>
      </c>
      <c r="J14" s="2">
        <f>(E14*H13*G13)/1000</f>
        <v>2.8162416132754504E-2</v>
      </c>
      <c r="K14" s="2">
        <f>(F14*H13*G13)/1000</f>
        <v>2.1840133489001615E-2</v>
      </c>
    </row>
    <row r="16" spans="1:14" ht="15.75" customHeight="1" x14ac:dyDescent="0.3">
      <c r="H16" t="s">
        <v>21</v>
      </c>
      <c r="I16" t="s">
        <v>22</v>
      </c>
      <c r="J16" t="s">
        <v>23</v>
      </c>
      <c r="K16" s="2" t="s">
        <v>24</v>
      </c>
      <c r="L16" t="s">
        <v>69</v>
      </c>
    </row>
    <row r="17" spans="1:14" x14ac:dyDescent="0.3">
      <c r="G17" s="2" t="s">
        <v>18</v>
      </c>
      <c r="H17">
        <f>A14-N6</f>
        <v>-7818.9000000000005</v>
      </c>
      <c r="I17">
        <f>H17^2</f>
        <v>61135197.210000008</v>
      </c>
      <c r="J17">
        <f>N11*SQRT(N4+N5+(I17/(N3^2*N8)))</f>
        <v>7.2120776710839856</v>
      </c>
      <c r="K17" s="2">
        <f>J17*G13*H13</f>
        <v>7.5726815546381854</v>
      </c>
      <c r="L17">
        <f>K17/1000</f>
        <v>7.5726815546381856E-3</v>
      </c>
    </row>
    <row r="18" spans="1:14" x14ac:dyDescent="0.3">
      <c r="G18" s="2" t="s">
        <v>19</v>
      </c>
      <c r="H18">
        <f>B14-N6</f>
        <v>-7933.6500000000005</v>
      </c>
      <c r="I18">
        <f t="shared" ref="I18:I19" si="0">H18^2</f>
        <v>62942802.322500005</v>
      </c>
      <c r="J18">
        <f>N11*SQRT(N4+N5+(I18/(N3^2*N8)))</f>
        <v>7.2322638493311606</v>
      </c>
      <c r="K18" s="2">
        <f>J18*G13*H13</f>
        <v>7.5938770417977191</v>
      </c>
      <c r="L18">
        <f t="shared" ref="L18:L19" si="1">K18/1000</f>
        <v>7.5938770417977187E-3</v>
      </c>
    </row>
    <row r="19" spans="1:14" x14ac:dyDescent="0.3">
      <c r="G19" s="2" t="s">
        <v>20</v>
      </c>
      <c r="H19">
        <f>C14-N6</f>
        <v>-8233.4500000000007</v>
      </c>
      <c r="I19">
        <f t="shared" si="0"/>
        <v>67789698.902500018</v>
      </c>
      <c r="J19">
        <f>N11*SQRT(N4+N5+(I19/(N3^2*N8)))</f>
        <v>7.2861148680351171</v>
      </c>
      <c r="K19" s="2">
        <f>J19*G13*H13</f>
        <v>7.6504206114368731</v>
      </c>
      <c r="L19">
        <f t="shared" si="1"/>
        <v>7.6504206114368731E-3</v>
      </c>
    </row>
    <row r="26" spans="1:14" x14ac:dyDescent="0.3">
      <c r="M26" t="s">
        <v>48</v>
      </c>
      <c r="N26">
        <v>85.133198199906218</v>
      </c>
    </row>
    <row r="27" spans="1:14" x14ac:dyDescent="0.3">
      <c r="M27" t="s">
        <v>49</v>
      </c>
      <c r="N27">
        <v>13677.943319838048</v>
      </c>
    </row>
    <row r="28" spans="1:14" x14ac:dyDescent="0.3">
      <c r="M28" t="s">
        <v>50</v>
      </c>
      <c r="N28">
        <v>0.5</v>
      </c>
    </row>
    <row r="29" spans="1:14" x14ac:dyDescent="0.3">
      <c r="M29" t="s">
        <v>51</v>
      </c>
      <c r="N29">
        <v>0.16666666666666666</v>
      </c>
    </row>
    <row r="30" spans="1:14" x14ac:dyDescent="0.3">
      <c r="M30" t="s">
        <v>52</v>
      </c>
      <c r="N30">
        <v>2917.3666666666663</v>
      </c>
    </row>
    <row r="31" spans="1:14" x14ac:dyDescent="0.3">
      <c r="M31" t="s">
        <v>53</v>
      </c>
      <c r="N31">
        <v>0.21250000000000002</v>
      </c>
    </row>
    <row r="32" spans="1:14" x14ac:dyDescent="0.3">
      <c r="A32" s="6"/>
      <c r="B32" s="7"/>
      <c r="E32" s="2"/>
      <c r="F32" s="2"/>
      <c r="M32" t="s">
        <v>54</v>
      </c>
      <c r="N32">
        <v>0.19218750000000001</v>
      </c>
    </row>
    <row r="33" spans="13:14" x14ac:dyDescent="0.3">
      <c r="M33" t="s">
        <v>55</v>
      </c>
      <c r="N33">
        <v>57.935940506987357</v>
      </c>
    </row>
    <row r="34" spans="13:14" x14ac:dyDescent="0.3">
      <c r="M34">
        <v>0</v>
      </c>
      <c r="N34">
        <v>0</v>
      </c>
    </row>
    <row r="35" spans="13:14" x14ac:dyDescent="0.3">
      <c r="M35" t="s">
        <v>56</v>
      </c>
      <c r="N35">
        <v>4.2357201775327534E-3</v>
      </c>
    </row>
  </sheetData>
  <mergeCells count="3">
    <mergeCell ref="A12:C12"/>
    <mergeCell ref="D12:F12"/>
    <mergeCell ref="I12:K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CGA Calibration</vt:lpstr>
      <vt:lpstr>1_jmswe619</vt:lpstr>
      <vt:lpstr>2_jmswe619</vt:lpstr>
      <vt:lpstr>3_jmswe619</vt:lpstr>
      <vt:lpstr>4_jmswe619</vt:lpstr>
      <vt:lpstr>5_jmswe619</vt:lpstr>
      <vt:lpstr>6_jmswe619</vt:lpstr>
      <vt:lpstr>7_jmswe619 </vt:lpstr>
      <vt:lpstr>8_jmswe619  </vt:lpstr>
      <vt:lpstr>9_jmswe619 </vt:lpstr>
      <vt:lpstr>10_jmswe619    </vt:lpstr>
      <vt:lpstr>11_jmswe619    </vt:lpstr>
      <vt:lpstr>12_jmswe619   </vt:lpstr>
      <vt:lpstr>13_jmswe619  </vt:lpstr>
      <vt:lpstr>14_jmswe619  </vt:lpstr>
      <vt:lpstr>15_jmswe619  </vt:lpstr>
      <vt:lpstr>16_jmswe619   </vt:lpstr>
      <vt:lpstr>17_jmswe619   </vt:lpstr>
      <vt:lpstr>18_jmswe619  </vt:lpstr>
      <vt:lpstr>19_jmswe619  </vt:lpstr>
      <vt:lpstr>20_jmswe619  </vt:lpstr>
      <vt:lpstr>5b_jmswe619 </vt:lpstr>
      <vt:lpstr>SUMMARY</vt:lpstr>
    </vt:vector>
  </TitlesOfParts>
  <Company>University of Bath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Jackie Massaya</cp:lastModifiedBy>
  <dcterms:created xsi:type="dcterms:W3CDTF">2019-02-26T10:13:04Z</dcterms:created>
  <dcterms:modified xsi:type="dcterms:W3CDTF">2021-01-12T11:43:47Z</dcterms:modified>
</cp:coreProperties>
</file>