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tables/table2.xml" ContentType="application/vnd.openxmlformats-officedocument.spreadsheetml.tab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tables/table3.xml" ContentType="application/vnd.openxmlformats-officedocument.spreadsheetml.tab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tables/table4.xml" ContentType="application/vnd.openxmlformats-officedocument.spreadsheetml.tab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+xml"/>
  <Override PartName="/xl/tables/table5.xml" ContentType="application/vnd.openxmlformats-officedocument.spreadsheetml.tab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6.xml" ContentType="application/vnd.openxmlformats-officedocument.drawing+xml"/>
  <Override PartName="/xl/tables/table6.xml" ContentType="application/vnd.openxmlformats-officedocument.spreadsheetml.tab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7.xml" ContentType="application/vnd.openxmlformats-officedocument.drawing+xml"/>
  <Override PartName="/xl/tables/table7.xml" ContentType="application/vnd.openxmlformats-officedocument.spreadsheetml.tab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8.xml" ContentType="application/vnd.openxmlformats-officedocument.drawing+xml"/>
  <Override PartName="/xl/tables/table8.xml" ContentType="application/vnd.openxmlformats-officedocument.spreadsheetml.tab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9.xml" ContentType="application/vnd.openxmlformats-officedocument.drawing+xml"/>
  <Override PartName="/xl/tables/table9.xml" ContentType="application/vnd.openxmlformats-officedocument.spreadsheetml.tab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10.xml" ContentType="application/vnd.openxmlformats-officedocument.drawing+xml"/>
  <Override PartName="/xl/tables/table10.xml" ContentType="application/vnd.openxmlformats-officedocument.spreadsheetml.tab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11.xml" ContentType="application/vnd.openxmlformats-officedocument.drawing+xml"/>
  <Override PartName="/xl/tables/table11.xml" ContentType="application/vnd.openxmlformats-officedocument.spreadsheetml.tab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drawings/drawing12.xml" ContentType="application/vnd.openxmlformats-officedocument.drawing+xml"/>
  <Override PartName="/xl/tables/table12.xml" ContentType="application/vnd.openxmlformats-officedocument.spreadsheetml.tab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drawings/drawing13.xml" ContentType="application/vnd.openxmlformats-officedocument.drawing+xml"/>
  <Override PartName="/xl/tables/table13.xml" ContentType="application/vnd.openxmlformats-officedocument.spreadsheetml.table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drawings/drawing14.xml" ContentType="application/vnd.openxmlformats-officedocument.drawing+xml"/>
  <Override PartName="/xl/tables/table14.xml" ContentType="application/vnd.openxmlformats-officedocument.spreadsheetml.tabl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drawings/drawing15.xml" ContentType="application/vnd.openxmlformats-officedocument.drawing+xml"/>
  <Override PartName="/xl/tables/table15.xml" ContentType="application/vnd.openxmlformats-officedocument.spreadsheetml.table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drawings/drawing16.xml" ContentType="application/vnd.openxmlformats-officedocument.drawing+xml"/>
  <Override PartName="/xl/tables/table16.xml" ContentType="application/vnd.openxmlformats-officedocument.spreadsheetml.table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drawings/drawing17.xml" ContentType="application/vnd.openxmlformats-officedocument.drawing+xml"/>
  <Override PartName="/xl/tables/table17.xml" ContentType="application/vnd.openxmlformats-officedocument.spreadsheetml.table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drawings/drawing18.xml" ContentType="application/vnd.openxmlformats-officedocument.drawing+xml"/>
  <Override PartName="/xl/tables/table18.xml" ContentType="application/vnd.openxmlformats-officedocument.spreadsheetml.table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drawings/drawing19.xml" ContentType="application/vnd.openxmlformats-officedocument.drawing+xml"/>
  <Override PartName="/xl/tables/table19.xml" ContentType="application/vnd.openxmlformats-officedocument.spreadsheetml.table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drawings/drawing20.xml" ContentType="application/vnd.openxmlformats-officedocument.drawing+xml"/>
  <Override PartName="/xl/tables/table20.xml" ContentType="application/vnd.openxmlformats-officedocument.spreadsheetml.table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drawings/drawing21.xml" ContentType="application/vnd.openxmlformats-officedocument.drawing+xml"/>
  <Override PartName="/xl/tables/table21.xml" ContentType="application/vnd.openxmlformats-officedocument.spreadsheetml.table+xml"/>
  <Override PartName="/xl/charts/chart21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drawings/drawing22.xml" ContentType="application/vnd.openxmlformats-officedocument.drawing+xml"/>
  <Override PartName="/xl/tables/table22.xml" ContentType="application/vnd.openxmlformats-officedocument.spreadsheetml.table+xml"/>
  <Override PartName="/xl/charts/chart22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tables/table2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X:\Chem Eng\ResearchProjects\CChuck\EG-CE1152 - Jackie Massaya\Experiments\SCG biorefinery paper\"/>
    </mc:Choice>
  </mc:AlternateContent>
  <xr:revisionPtr revIDLastSave="0" documentId="13_ncr:1_{61152EBC-69B0-4ACC-91D5-9FBEB4DD95E5}" xr6:coauthVersionLast="45" xr6:coauthVersionMax="45" xr10:uidLastSave="{00000000-0000-0000-0000-000000000000}"/>
  <bookViews>
    <workbookView xWindow="1500" yWindow="3435" windowWidth="6248" windowHeight="9885" firstSheet="22" activeTab="22" xr2:uid="{185E952E-1CCB-498E-9316-F42EABA06817}"/>
  </bookViews>
  <sheets>
    <sheet name="Trolox" sheetId="3" r:id="rId1"/>
    <sheet name="SWECCD 1" sheetId="1" r:id="rId2"/>
    <sheet name="SWECCD 2" sheetId="4" r:id="rId3"/>
    <sheet name="SWECCD 3" sheetId="5" r:id="rId4"/>
    <sheet name="SWECCD 4" sheetId="6" r:id="rId5"/>
    <sheet name="SWECCD 5" sheetId="7" r:id="rId6"/>
    <sheet name="SWECCD 6" sheetId="8" r:id="rId7"/>
    <sheet name="SWECCD 7" sheetId="9" r:id="rId8"/>
    <sheet name="SWECCD 8" sheetId="10" r:id="rId9"/>
    <sheet name="SWECCD 9" sheetId="11" r:id="rId10"/>
    <sheet name="SWECCD 10" sheetId="12" r:id="rId11"/>
    <sheet name="SWECCD 11 " sheetId="13" r:id="rId12"/>
    <sheet name="SWECCD 12" sheetId="14" r:id="rId13"/>
    <sheet name="SWECCD 13" sheetId="15" r:id="rId14"/>
    <sheet name="SWECCD 14" sheetId="16" r:id="rId15"/>
    <sheet name="SWECCD 15" sheetId="17" r:id="rId16"/>
    <sheet name="SWECCD 16" sheetId="18" r:id="rId17"/>
    <sheet name="SWECCD 17" sheetId="19" r:id="rId18"/>
    <sheet name="SWECCD 18" sheetId="20" r:id="rId19"/>
    <sheet name="SWECCD 19" sheetId="21" r:id="rId20"/>
    <sheet name="SWECCD 20" sheetId="22" r:id="rId21"/>
    <sheet name="SWECCD 5B" sheetId="23" r:id="rId22"/>
    <sheet name="Summary" sheetId="2" r:id="rId2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19" i="14" l="1"/>
  <c r="G13" i="14"/>
  <c r="G14" i="14" s="1"/>
  <c r="G19" i="20"/>
  <c r="G13" i="23"/>
  <c r="F13" i="23"/>
  <c r="G13" i="22"/>
  <c r="F13" i="22"/>
  <c r="B14" i="22"/>
  <c r="G13" i="21"/>
  <c r="F13" i="21"/>
  <c r="G13" i="20"/>
  <c r="F13" i="20"/>
  <c r="G13" i="19"/>
  <c r="F13" i="19"/>
  <c r="G13" i="18"/>
  <c r="F13" i="18"/>
  <c r="G13" i="17"/>
  <c r="F13" i="17"/>
  <c r="B14" i="17"/>
  <c r="G13" i="16"/>
  <c r="F13" i="16"/>
  <c r="B14" i="16"/>
  <c r="G13" i="15"/>
  <c r="F13" i="15"/>
  <c r="F13" i="14"/>
  <c r="G13" i="13"/>
  <c r="F13" i="13"/>
  <c r="G13" i="12"/>
  <c r="F13" i="12"/>
  <c r="G13" i="11"/>
  <c r="F13" i="11"/>
  <c r="G13" i="10"/>
  <c r="F13" i="10"/>
  <c r="G13" i="9"/>
  <c r="F13" i="9"/>
  <c r="G13" i="8"/>
  <c r="F13" i="8"/>
  <c r="G13" i="7"/>
  <c r="F13" i="7"/>
  <c r="G13" i="6"/>
  <c r="F13" i="6"/>
  <c r="G13" i="5"/>
  <c r="F13" i="5"/>
  <c r="G13" i="4"/>
  <c r="F13" i="4"/>
  <c r="F13" i="1"/>
  <c r="F14" i="1" s="1"/>
  <c r="G13" i="1"/>
  <c r="B13" i="10"/>
  <c r="B14" i="10" s="1"/>
  <c r="B13" i="23"/>
  <c r="B13" i="22"/>
  <c r="B13" i="21"/>
  <c r="B13" i="20"/>
  <c r="B13" i="19"/>
  <c r="B13" i="18"/>
  <c r="B13" i="17"/>
  <c r="B13" i="16"/>
  <c r="B13" i="15"/>
  <c r="B13" i="14"/>
  <c r="B13" i="13"/>
  <c r="B13" i="12"/>
  <c r="B14" i="12" s="1"/>
  <c r="B13" i="11"/>
  <c r="B13" i="9"/>
  <c r="B13" i="8"/>
  <c r="B13" i="7"/>
  <c r="B13" i="6"/>
  <c r="B14" i="6"/>
  <c r="B14" i="5"/>
  <c r="B14" i="4"/>
  <c r="B13" i="1"/>
  <c r="B14" i="1"/>
  <c r="G8" i="23" l="1"/>
  <c r="E8" i="23"/>
  <c r="D8" i="23"/>
  <c r="A8" i="23"/>
  <c r="G7" i="23"/>
  <c r="F7" i="23"/>
  <c r="F12" i="23" s="1"/>
  <c r="E7" i="23"/>
  <c r="D7" i="23"/>
  <c r="A7" i="23"/>
  <c r="G6" i="23"/>
  <c r="F6" i="23"/>
  <c r="D6" i="23"/>
  <c r="A6" i="23"/>
  <c r="G5" i="23"/>
  <c r="G12" i="23" s="1"/>
  <c r="F5" i="23"/>
  <c r="D5" i="23"/>
  <c r="A5" i="23"/>
  <c r="B2" i="23"/>
  <c r="F8" i="23" s="1"/>
  <c r="D8" i="22"/>
  <c r="A8" i="22"/>
  <c r="G7" i="22"/>
  <c r="D7" i="22"/>
  <c r="A7" i="22"/>
  <c r="F6" i="22"/>
  <c r="D6" i="22"/>
  <c r="A6" i="22"/>
  <c r="D5" i="22"/>
  <c r="A5" i="22"/>
  <c r="B2" i="22"/>
  <c r="E7" i="22" s="1"/>
  <c r="G8" i="21"/>
  <c r="F8" i="21"/>
  <c r="E8" i="21"/>
  <c r="D8" i="21"/>
  <c r="A8" i="21"/>
  <c r="G7" i="21"/>
  <c r="F7" i="21"/>
  <c r="E7" i="21"/>
  <c r="D7" i="21"/>
  <c r="A7" i="21"/>
  <c r="G6" i="21"/>
  <c r="F6" i="21"/>
  <c r="D6" i="21"/>
  <c r="A6" i="21"/>
  <c r="G5" i="21"/>
  <c r="G12" i="21" s="1"/>
  <c r="F5" i="21"/>
  <c r="F12" i="21" s="1"/>
  <c r="E5" i="21"/>
  <c r="D5" i="21"/>
  <c r="A5" i="21"/>
  <c r="B2" i="21"/>
  <c r="E6" i="21" s="1"/>
  <c r="B12" i="21" s="1"/>
  <c r="D8" i="20"/>
  <c r="A8" i="20"/>
  <c r="G7" i="20"/>
  <c r="D7" i="20"/>
  <c r="A7" i="20"/>
  <c r="D6" i="20"/>
  <c r="A6" i="20"/>
  <c r="D5" i="20"/>
  <c r="A5" i="20"/>
  <c r="B2" i="20"/>
  <c r="F8" i="20" s="1"/>
  <c r="G8" i="19"/>
  <c r="F8" i="19"/>
  <c r="E8" i="19"/>
  <c r="D8" i="19"/>
  <c r="A8" i="19"/>
  <c r="F7" i="19"/>
  <c r="D7" i="19"/>
  <c r="E7" i="19" s="1"/>
  <c r="A7" i="19"/>
  <c r="G6" i="19"/>
  <c r="F6" i="19"/>
  <c r="D6" i="19"/>
  <c r="A6" i="19"/>
  <c r="G5" i="19"/>
  <c r="F5" i="19"/>
  <c r="F12" i="19" s="1"/>
  <c r="D5" i="19"/>
  <c r="E5" i="19" s="1"/>
  <c r="B12" i="19" s="1"/>
  <c r="A5" i="19"/>
  <c r="B2" i="19"/>
  <c r="E6" i="19" s="1"/>
  <c r="D8" i="18"/>
  <c r="A8" i="18"/>
  <c r="G7" i="18"/>
  <c r="D7" i="18"/>
  <c r="A7" i="18"/>
  <c r="D6" i="18"/>
  <c r="A6" i="18"/>
  <c r="D5" i="18"/>
  <c r="A5" i="18"/>
  <c r="B2" i="18"/>
  <c r="F8" i="18" s="1"/>
  <c r="F8" i="17"/>
  <c r="E8" i="17"/>
  <c r="D8" i="17"/>
  <c r="A8" i="17"/>
  <c r="G7" i="17"/>
  <c r="D7" i="17"/>
  <c r="A7" i="17"/>
  <c r="G6" i="17"/>
  <c r="D6" i="17"/>
  <c r="A6" i="17"/>
  <c r="D5" i="17"/>
  <c r="E5" i="17" s="1"/>
  <c r="A5" i="17"/>
  <c r="B2" i="17"/>
  <c r="F7" i="17" s="1"/>
  <c r="F12" i="16"/>
  <c r="G8" i="16"/>
  <c r="F8" i="16"/>
  <c r="E8" i="16"/>
  <c r="D8" i="16"/>
  <c r="A8" i="16"/>
  <c r="G7" i="16"/>
  <c r="F7" i="16"/>
  <c r="E7" i="16"/>
  <c r="B12" i="16" s="1"/>
  <c r="D7" i="16"/>
  <c r="A7" i="16"/>
  <c r="G6" i="16"/>
  <c r="F6" i="16"/>
  <c r="D6" i="16"/>
  <c r="A6" i="16"/>
  <c r="G5" i="16"/>
  <c r="G12" i="16" s="1"/>
  <c r="F5" i="16"/>
  <c r="D5" i="16"/>
  <c r="E5" i="16" s="1"/>
  <c r="A5" i="16"/>
  <c r="B2" i="16"/>
  <c r="E6" i="16" s="1"/>
  <c r="D8" i="15"/>
  <c r="E8" i="15" s="1"/>
  <c r="A8" i="15"/>
  <c r="G7" i="15"/>
  <c r="F7" i="15"/>
  <c r="D7" i="15"/>
  <c r="A7" i="15"/>
  <c r="G6" i="15"/>
  <c r="F6" i="15"/>
  <c r="D6" i="15"/>
  <c r="A6" i="15"/>
  <c r="D5" i="15"/>
  <c r="A5" i="15"/>
  <c r="B2" i="15"/>
  <c r="E7" i="15" s="1"/>
  <c r="F12" i="14"/>
  <c r="B12" i="14"/>
  <c r="G8" i="14"/>
  <c r="F8" i="14"/>
  <c r="E8" i="14"/>
  <c r="D8" i="14"/>
  <c r="A8" i="14"/>
  <c r="G7" i="14"/>
  <c r="F7" i="14"/>
  <c r="E7" i="14"/>
  <c r="D7" i="14"/>
  <c r="A7" i="14"/>
  <c r="G6" i="14"/>
  <c r="F6" i="14"/>
  <c r="D6" i="14"/>
  <c r="A6" i="14"/>
  <c r="G5" i="14"/>
  <c r="G12" i="14" s="1"/>
  <c r="F5" i="14"/>
  <c r="D5" i="14"/>
  <c r="E5" i="14" s="1"/>
  <c r="A5" i="14"/>
  <c r="B2" i="14"/>
  <c r="E6" i="14" s="1"/>
  <c r="D8" i="13"/>
  <c r="A8" i="13"/>
  <c r="G7" i="13"/>
  <c r="D7" i="13"/>
  <c r="A7" i="13"/>
  <c r="D6" i="13"/>
  <c r="A6" i="13"/>
  <c r="D5" i="13"/>
  <c r="A5" i="13"/>
  <c r="B2" i="13"/>
  <c r="F8" i="13" s="1"/>
  <c r="D8" i="12"/>
  <c r="E8" i="12" s="1"/>
  <c r="A8" i="12"/>
  <c r="G7" i="12"/>
  <c r="F7" i="12"/>
  <c r="D7" i="12"/>
  <c r="A7" i="12"/>
  <c r="G6" i="12"/>
  <c r="F6" i="12"/>
  <c r="D6" i="12"/>
  <c r="A6" i="12"/>
  <c r="D5" i="12"/>
  <c r="A5" i="12"/>
  <c r="B2" i="12"/>
  <c r="E7" i="12" s="1"/>
  <c r="G8" i="11"/>
  <c r="D8" i="11"/>
  <c r="E8" i="11" s="1"/>
  <c r="A8" i="11"/>
  <c r="D7" i="11"/>
  <c r="E7" i="11" s="1"/>
  <c r="A7" i="11"/>
  <c r="G6" i="11"/>
  <c r="F6" i="11"/>
  <c r="D6" i="11"/>
  <c r="A6" i="11"/>
  <c r="G5" i="11"/>
  <c r="F5" i="11"/>
  <c r="D5" i="11"/>
  <c r="A5" i="11"/>
  <c r="B2" i="11"/>
  <c r="E6" i="11" s="1"/>
  <c r="D8" i="10"/>
  <c r="A8" i="10"/>
  <c r="D7" i="10"/>
  <c r="A7" i="10"/>
  <c r="D6" i="10"/>
  <c r="A6" i="10"/>
  <c r="D5" i="10"/>
  <c r="A5" i="10"/>
  <c r="B2" i="10"/>
  <c r="E6" i="10" s="1"/>
  <c r="D8" i="9"/>
  <c r="A8" i="9"/>
  <c r="D7" i="9"/>
  <c r="A7" i="9"/>
  <c r="E6" i="9"/>
  <c r="D6" i="9"/>
  <c r="A6" i="9"/>
  <c r="D5" i="9"/>
  <c r="A5" i="9"/>
  <c r="B2" i="9"/>
  <c r="F8" i="8"/>
  <c r="E8" i="8"/>
  <c r="D8" i="8"/>
  <c r="A8" i="8"/>
  <c r="G7" i="8"/>
  <c r="D7" i="8"/>
  <c r="A7" i="8"/>
  <c r="G6" i="8"/>
  <c r="D6" i="8"/>
  <c r="A6" i="8"/>
  <c r="D5" i="8"/>
  <c r="E5" i="8" s="1"/>
  <c r="A5" i="8"/>
  <c r="B2" i="8"/>
  <c r="F7" i="8" s="1"/>
  <c r="G8" i="7"/>
  <c r="D8" i="7"/>
  <c r="E8" i="7" s="1"/>
  <c r="A8" i="7"/>
  <c r="D7" i="7"/>
  <c r="E7" i="7" s="1"/>
  <c r="A7" i="7"/>
  <c r="G6" i="7"/>
  <c r="F6" i="7"/>
  <c r="D6" i="7"/>
  <c r="A6" i="7"/>
  <c r="G5" i="7"/>
  <c r="F5" i="7"/>
  <c r="D5" i="7"/>
  <c r="A5" i="7"/>
  <c r="B2" i="7"/>
  <c r="E6" i="7" s="1"/>
  <c r="D8" i="6"/>
  <c r="A8" i="6"/>
  <c r="G7" i="6"/>
  <c r="D7" i="6"/>
  <c r="A7" i="6"/>
  <c r="D6" i="6"/>
  <c r="A6" i="6"/>
  <c r="D5" i="6"/>
  <c r="A5" i="6"/>
  <c r="B2" i="6"/>
  <c r="F8" i="6" s="1"/>
  <c r="D8" i="5"/>
  <c r="E8" i="5" s="1"/>
  <c r="A8" i="5"/>
  <c r="G7" i="5"/>
  <c r="F7" i="5"/>
  <c r="E7" i="5"/>
  <c r="D7" i="5"/>
  <c r="A7" i="5"/>
  <c r="G6" i="5"/>
  <c r="G12" i="5" s="1"/>
  <c r="F6" i="5"/>
  <c r="D6" i="5"/>
  <c r="A6" i="5"/>
  <c r="G5" i="5"/>
  <c r="D5" i="5"/>
  <c r="A5" i="5"/>
  <c r="B2" i="5"/>
  <c r="G8" i="5" s="1"/>
  <c r="D8" i="4"/>
  <c r="A8" i="4"/>
  <c r="G7" i="4"/>
  <c r="D7" i="4"/>
  <c r="A7" i="4"/>
  <c r="D6" i="4"/>
  <c r="A6" i="4"/>
  <c r="D5" i="4"/>
  <c r="A5" i="4"/>
  <c r="B2" i="4"/>
  <c r="F8" i="4" s="1"/>
  <c r="G8" i="1"/>
  <c r="F8" i="1"/>
  <c r="D8" i="1"/>
  <c r="A8" i="1"/>
  <c r="D7" i="1"/>
  <c r="A7" i="1"/>
  <c r="D6" i="1"/>
  <c r="A6" i="1"/>
  <c r="F5" i="1"/>
  <c r="E5" i="1"/>
  <c r="D5" i="1"/>
  <c r="A5" i="1"/>
  <c r="B2" i="1"/>
  <c r="G7" i="1" s="1"/>
  <c r="D11" i="3"/>
  <c r="E11" i="3" s="1"/>
  <c r="D10" i="3"/>
  <c r="E9" i="3"/>
  <c r="D9" i="3"/>
  <c r="D8" i="3"/>
  <c r="D7" i="3"/>
  <c r="E7" i="3" s="1"/>
  <c r="D6" i="3"/>
  <c r="E5" i="3"/>
  <c r="D5" i="3"/>
  <c r="B2" i="3"/>
  <c r="E8" i="3" s="1"/>
  <c r="G8" i="9" l="1"/>
  <c r="F5" i="9"/>
  <c r="F8" i="9"/>
  <c r="E5" i="9"/>
  <c r="B12" i="9" s="1"/>
  <c r="F6" i="9"/>
  <c r="E8" i="9"/>
  <c r="G6" i="9"/>
  <c r="G7" i="9"/>
  <c r="F7" i="9"/>
  <c r="E7" i="9"/>
  <c r="G5" i="9"/>
  <c r="G8" i="10"/>
  <c r="F5" i="10"/>
  <c r="F8" i="10"/>
  <c r="E5" i="10"/>
  <c r="E8" i="10"/>
  <c r="G6" i="10"/>
  <c r="G7" i="10"/>
  <c r="F6" i="10"/>
  <c r="F7" i="10"/>
  <c r="E7" i="10"/>
  <c r="G5" i="10"/>
  <c r="E6" i="1"/>
  <c r="B12" i="1" s="1"/>
  <c r="G8" i="6"/>
  <c r="F5" i="13"/>
  <c r="F12" i="13" s="1"/>
  <c r="G8" i="13"/>
  <c r="F5" i="18"/>
  <c r="G8" i="18"/>
  <c r="F5" i="20"/>
  <c r="G8" i="20"/>
  <c r="F7" i="22"/>
  <c r="E6" i="13"/>
  <c r="F5" i="6"/>
  <c r="F12" i="6" s="1"/>
  <c r="F6" i="1"/>
  <c r="F12" i="1" s="1"/>
  <c r="G5" i="4"/>
  <c r="E7" i="4"/>
  <c r="G5" i="6"/>
  <c r="E7" i="6"/>
  <c r="E6" i="8"/>
  <c r="B12" i="8" s="1"/>
  <c r="G5" i="13"/>
  <c r="E7" i="13"/>
  <c r="E6" i="17"/>
  <c r="B12" i="17" s="1"/>
  <c r="G5" i="18"/>
  <c r="E7" i="18"/>
  <c r="G5" i="20"/>
  <c r="E7" i="20"/>
  <c r="F5" i="4"/>
  <c r="G8" i="4"/>
  <c r="E6" i="3"/>
  <c r="C17" i="3" s="1" a="1"/>
  <c r="E10" i="3"/>
  <c r="G6" i="1"/>
  <c r="E8" i="1"/>
  <c r="F7" i="4"/>
  <c r="E6" i="5"/>
  <c r="F7" i="6"/>
  <c r="E5" i="7"/>
  <c r="B12" i="7" s="1"/>
  <c r="F8" i="7"/>
  <c r="F6" i="8"/>
  <c r="E5" i="11"/>
  <c r="B12" i="11" s="1"/>
  <c r="F8" i="11"/>
  <c r="E6" i="12"/>
  <c r="F7" i="13"/>
  <c r="E6" i="15"/>
  <c r="F6" i="17"/>
  <c r="F7" i="18"/>
  <c r="F7" i="20"/>
  <c r="E6" i="22"/>
  <c r="G6" i="22"/>
  <c r="E8" i="22"/>
  <c r="E6" i="23"/>
  <c r="G5" i="1"/>
  <c r="G12" i="1" s="1"/>
  <c r="E7" i="1"/>
  <c r="F6" i="4"/>
  <c r="E5" i="5"/>
  <c r="F8" i="5"/>
  <c r="F6" i="6"/>
  <c r="F7" i="7"/>
  <c r="F12" i="7" s="1"/>
  <c r="F5" i="8"/>
  <c r="F12" i="8" s="1"/>
  <c r="G8" i="8"/>
  <c r="F7" i="11"/>
  <c r="F12" i="11" s="1"/>
  <c r="E5" i="12"/>
  <c r="B12" i="12" s="1"/>
  <c r="F8" i="12"/>
  <c r="F6" i="13"/>
  <c r="E5" i="15"/>
  <c r="B12" i="15" s="1"/>
  <c r="F8" i="15"/>
  <c r="F5" i="17"/>
  <c r="G8" i="17"/>
  <c r="F6" i="18"/>
  <c r="F6" i="20"/>
  <c r="E5" i="22"/>
  <c r="F8" i="22"/>
  <c r="E6" i="4"/>
  <c r="E6" i="6"/>
  <c r="F7" i="1"/>
  <c r="G6" i="4"/>
  <c r="E8" i="4"/>
  <c r="F5" i="5"/>
  <c r="F12" i="5" s="1"/>
  <c r="G6" i="6"/>
  <c r="E8" i="6"/>
  <c r="G7" i="7"/>
  <c r="G12" i="7" s="1"/>
  <c r="G5" i="8"/>
  <c r="G12" i="8" s="1"/>
  <c r="E7" i="8"/>
  <c r="G7" i="11"/>
  <c r="G12" i="11" s="1"/>
  <c r="F5" i="12"/>
  <c r="F12" i="12" s="1"/>
  <c r="G8" i="12"/>
  <c r="G6" i="13"/>
  <c r="E8" i="13"/>
  <c r="F5" i="15"/>
  <c r="G8" i="15"/>
  <c r="G5" i="17"/>
  <c r="G12" i="17" s="1"/>
  <c r="E7" i="17"/>
  <c r="G6" i="18"/>
  <c r="E8" i="18"/>
  <c r="G7" i="19"/>
  <c r="G12" i="19" s="1"/>
  <c r="G6" i="20"/>
  <c r="E8" i="20"/>
  <c r="F5" i="22"/>
  <c r="F12" i="22" s="1"/>
  <c r="G8" i="22"/>
  <c r="E6" i="18"/>
  <c r="E6" i="20"/>
  <c r="E5" i="4"/>
  <c r="B12" i="4" s="1"/>
  <c r="E5" i="6"/>
  <c r="G5" i="12"/>
  <c r="E5" i="13"/>
  <c r="G5" i="15"/>
  <c r="G12" i="15" s="1"/>
  <c r="E5" i="18"/>
  <c r="E5" i="20"/>
  <c r="G5" i="22"/>
  <c r="G12" i="22" s="1"/>
  <c r="E5" i="23"/>
  <c r="B12" i="23" s="1"/>
  <c r="G12" i="13" l="1"/>
  <c r="G12" i="9"/>
  <c r="B12" i="20"/>
  <c r="F12" i="4"/>
  <c r="F12" i="9"/>
  <c r="D21" i="3"/>
  <c r="D17" i="3"/>
  <c r="C20" i="3"/>
  <c r="C21" i="3"/>
  <c r="C17" i="3"/>
  <c r="D20" i="3"/>
  <c r="C19" i="3"/>
  <c r="D18" i="3"/>
  <c r="C18" i="3"/>
  <c r="D19" i="3"/>
  <c r="B12" i="18"/>
  <c r="F12" i="17"/>
  <c r="G12" i="20"/>
  <c r="G12" i="6"/>
  <c r="F12" i="20"/>
  <c r="B12" i="13"/>
  <c r="F12" i="15"/>
  <c r="B12" i="10"/>
  <c r="B13" i="4"/>
  <c r="G12" i="12"/>
  <c r="G12" i="18"/>
  <c r="G12" i="4"/>
  <c r="F12" i="18"/>
  <c r="G12" i="10"/>
  <c r="B12" i="6"/>
  <c r="B12" i="22"/>
  <c r="B12" i="5"/>
  <c r="F12" i="10"/>
  <c r="G14" i="11" l="1"/>
  <c r="B21" i="2"/>
  <c r="C21" i="2"/>
  <c r="F14" i="5"/>
  <c r="C16" i="2"/>
  <c r="B16" i="2"/>
  <c r="B5" i="2"/>
  <c r="C5" i="2"/>
  <c r="B3" i="2"/>
  <c r="C3" i="2"/>
  <c r="G14" i="20"/>
  <c r="B14" i="18"/>
  <c r="B17" i="2" s="1"/>
  <c r="C17" i="2"/>
  <c r="G19" i="11"/>
  <c r="G10" i="2" s="1"/>
  <c r="F14" i="11"/>
  <c r="G18" i="11" s="1"/>
  <c r="F10" i="2" s="1"/>
  <c r="G14" i="15"/>
  <c r="C9" i="2"/>
  <c r="B9" i="2"/>
  <c r="G14" i="8"/>
  <c r="G14" i="10"/>
  <c r="F14" i="22"/>
  <c r="F14" i="9"/>
  <c r="B14" i="7"/>
  <c r="G14" i="19"/>
  <c r="G19" i="18"/>
  <c r="G17" i="2" s="1"/>
  <c r="F14" i="18"/>
  <c r="G18" i="18" s="1"/>
  <c r="F17" i="2" s="1"/>
  <c r="G14" i="4"/>
  <c r="B14" i="13"/>
  <c r="B12" i="2" s="1"/>
  <c r="C12" i="2"/>
  <c r="G14" i="18"/>
  <c r="G14" i="12"/>
  <c r="B14" i="15"/>
  <c r="B14" i="2" s="1"/>
  <c r="C14" i="2"/>
  <c r="G19" i="10"/>
  <c r="G9" i="2" s="1"/>
  <c r="F14" i="10"/>
  <c r="G18" i="10" s="1"/>
  <c r="F9" i="2" s="1"/>
  <c r="F14" i="6"/>
  <c r="F14" i="17"/>
  <c r="B13" i="5"/>
  <c r="G14" i="6"/>
  <c r="C2" i="2" l="1"/>
  <c r="B2" i="2"/>
  <c r="C20" i="2"/>
  <c r="B14" i="21"/>
  <c r="B20" i="2" s="1"/>
  <c r="B14" i="20"/>
  <c r="B19" i="2" s="1"/>
  <c r="C19" i="2"/>
  <c r="G19" i="9"/>
  <c r="G8" i="2" s="1"/>
  <c r="G14" i="9"/>
  <c r="G18" i="9" s="1"/>
  <c r="F8" i="2" s="1"/>
  <c r="B11" i="2"/>
  <c r="C11" i="2"/>
  <c r="G14" i="16"/>
  <c r="B14" i="9"/>
  <c r="B8" i="2" s="1"/>
  <c r="C8" i="2"/>
  <c r="G14" i="21"/>
  <c r="F14" i="14"/>
  <c r="G18" i="6"/>
  <c r="F5" i="2" s="1"/>
  <c r="G18" i="17"/>
  <c r="F16" i="2" s="1"/>
  <c r="F21" i="12"/>
  <c r="C7" i="2"/>
  <c r="B14" i="8"/>
  <c r="B7" i="2" s="1"/>
  <c r="B14" i="23"/>
  <c r="B22" i="2" s="1"/>
  <c r="C22" i="2"/>
  <c r="G14" i="17"/>
  <c r="F21" i="17" s="1"/>
  <c r="G19" i="17"/>
  <c r="G16" i="2" s="1"/>
  <c r="G19" i="19"/>
  <c r="G18" i="2" s="1"/>
  <c r="F14" i="19"/>
  <c r="G18" i="19" s="1"/>
  <c r="F18" i="2" s="1"/>
  <c r="B14" i="19"/>
  <c r="B18" i="2" s="1"/>
  <c r="C18" i="2"/>
  <c r="G19" i="6"/>
  <c r="G5" i="2" s="1"/>
  <c r="F21" i="18"/>
  <c r="G14" i="7"/>
  <c r="F14" i="23"/>
  <c r="G19" i="22"/>
  <c r="G21" i="2" s="1"/>
  <c r="G14" i="22"/>
  <c r="F20" i="22" s="1"/>
  <c r="G19" i="12"/>
  <c r="G11" i="2" s="1"/>
  <c r="F14" i="12"/>
  <c r="G18" i="12" s="1"/>
  <c r="F11" i="2" s="1"/>
  <c r="G19" i="2"/>
  <c r="F14" i="20"/>
  <c r="G18" i="20" s="1"/>
  <c r="F19" i="2" s="1"/>
  <c r="G14" i="1"/>
  <c r="F14" i="4"/>
  <c r="G18" i="4" s="1"/>
  <c r="F3" i="2" s="1"/>
  <c r="G19" i="4"/>
  <c r="G3" i="2" s="1"/>
  <c r="G14" i="13"/>
  <c r="F14" i="21"/>
  <c r="B14" i="11"/>
  <c r="B10" i="2" s="1"/>
  <c r="C10" i="2"/>
  <c r="F14" i="16"/>
  <c r="C13" i="2"/>
  <c r="B14" i="14"/>
  <c r="B13" i="2" s="1"/>
  <c r="C4" i="2"/>
  <c r="B4" i="2"/>
  <c r="G14" i="23"/>
  <c r="G19" i="5"/>
  <c r="G4" i="2" s="1"/>
  <c r="G14" i="5"/>
  <c r="G18" i="5" s="1"/>
  <c r="F4" i="2" s="1"/>
  <c r="G19" i="8"/>
  <c r="G7" i="2" s="1"/>
  <c r="F14" i="8"/>
  <c r="G18" i="8" s="1"/>
  <c r="F7" i="2" s="1"/>
  <c r="F14" i="13"/>
  <c r="G18" i="13" s="1"/>
  <c r="F12" i="2" s="1"/>
  <c r="F21" i="11"/>
  <c r="G19" i="7"/>
  <c r="F14" i="7"/>
  <c r="G18" i="7" s="1"/>
  <c r="F21" i="14"/>
  <c r="C15" i="2"/>
  <c r="B15" i="2"/>
  <c r="G19" i="15"/>
  <c r="G14" i="2" s="1"/>
  <c r="F14" i="15"/>
  <c r="G18" i="15" s="1"/>
  <c r="F14" i="2" s="1"/>
  <c r="G18" i="23" l="1"/>
  <c r="F22" i="2" s="1"/>
  <c r="G18" i="21"/>
  <c r="F20" i="2" s="1"/>
  <c r="F21" i="21"/>
  <c r="F21" i="20"/>
  <c r="G18" i="1"/>
  <c r="F2" i="2" s="1"/>
  <c r="F21" i="23"/>
  <c r="F21" i="15"/>
  <c r="G19" i="16"/>
  <c r="G15" i="2" s="1"/>
  <c r="F21" i="19"/>
  <c r="G18" i="16"/>
  <c r="F15" i="2" s="1"/>
  <c r="F20" i="16"/>
  <c r="G19" i="13"/>
  <c r="G12" i="2" s="1"/>
  <c r="G19" i="21"/>
  <c r="G20" i="2" s="1"/>
  <c r="G19" i="23"/>
  <c r="G22" i="2" s="1"/>
  <c r="G18" i="14"/>
  <c r="F13" i="2" s="1"/>
  <c r="F21" i="13"/>
  <c r="G19" i="1"/>
  <c r="G2" i="2" s="1"/>
  <c r="G18" i="22"/>
  <c r="F21" i="2" s="1"/>
  <c r="G13" i="2"/>
</calcChain>
</file>

<file path=xl/sharedStrings.xml><?xml version="1.0" encoding="utf-8"?>
<sst xmlns="http://schemas.openxmlformats.org/spreadsheetml/2006/main" count="343" uniqueCount="34">
  <si>
    <t>Blank</t>
  </si>
  <si>
    <t>Control</t>
  </si>
  <si>
    <t>Average</t>
  </si>
  <si>
    <t>Abs 1</t>
  </si>
  <si>
    <t>Abs 2</t>
  </si>
  <si>
    <t>Q</t>
  </si>
  <si>
    <t>conc</t>
  </si>
  <si>
    <t>IC50</t>
  </si>
  <si>
    <t>38 mg in 250 mL</t>
  </si>
  <si>
    <t>TE (uM)</t>
  </si>
  <si>
    <t>Slope</t>
  </si>
  <si>
    <t>R squared</t>
  </si>
  <si>
    <t>SE Slope</t>
  </si>
  <si>
    <t>Intercept</t>
  </si>
  <si>
    <t>SE Intercept</t>
  </si>
  <si>
    <t>DOF</t>
  </si>
  <si>
    <t>F Stat</t>
  </si>
  <si>
    <t>STEYX</t>
  </si>
  <si>
    <t>SS REG</t>
  </si>
  <si>
    <t>SS RESID</t>
  </si>
  <si>
    <t>TE mg/mL</t>
  </si>
  <si>
    <t>mg TE/ g SCG</t>
  </si>
  <si>
    <t>umolTE/g SCG</t>
  </si>
  <si>
    <t>Sweccd</t>
  </si>
  <si>
    <t>5b</t>
  </si>
  <si>
    <t>14b</t>
  </si>
  <si>
    <t>Minitab Number</t>
  </si>
  <si>
    <t>mtab number 10/19</t>
  </si>
  <si>
    <t>Q1</t>
  </si>
  <si>
    <t>Qaverage</t>
  </si>
  <si>
    <t>Q2</t>
  </si>
  <si>
    <t>STDEV</t>
  </si>
  <si>
    <t>stdev mg/te</t>
  </si>
  <si>
    <t>stdev umolTe/g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</si>
</sst>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000"/>
    <numFmt numFmtId="165" formatCode="0.00000000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5">
    <xf numFmtId="0" fontId="0" fillId="0" borderId="0" xfId="0"/>
    <xf numFmtId="9" fontId="0" fillId="0" borderId="0" xfId="1" applyFont="1"/>
    <xf numFmtId="2" fontId="0" fillId="0" borderId="0" xfId="0" applyNumberFormat="1"/>
    <xf numFmtId="164" fontId="0" fillId="0" borderId="0" xfId="0" applyNumberFormat="1"/>
    <xf numFmtId="165" fontId="0" fillId="0" borderId="0" xfId="0" applyNumberFormat="1"/>
  </cellXfs>
  <cellStyles count="2">
    <cellStyle name="Normal" xfId="0" builtinId="0"/>
    <cellStyle name="Percent" xfId="1" builtinId="5"/>
  </cellStyles>
  <dxfs count="5"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0" formatCode="General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Trolox!$E$4</c:f>
              <c:strCache>
                <c:ptCount val="1"/>
                <c:pt idx="0">
                  <c:v>Q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8.6868547681539801E-2"/>
                  <c:y val="0.3745833333333333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Trolox!$A$5:$A$10</c:f>
              <c:numCache>
                <c:formatCode>General</c:formatCode>
                <c:ptCount val="6"/>
                <c:pt idx="0">
                  <c:v>10</c:v>
                </c:pt>
                <c:pt idx="1">
                  <c:v>25</c:v>
                </c:pt>
                <c:pt idx="2">
                  <c:v>50</c:v>
                </c:pt>
                <c:pt idx="3">
                  <c:v>100</c:v>
                </c:pt>
                <c:pt idx="4">
                  <c:v>200</c:v>
                </c:pt>
                <c:pt idx="5">
                  <c:v>400</c:v>
                </c:pt>
              </c:numCache>
            </c:numRef>
          </c:xVal>
          <c:yVal>
            <c:numRef>
              <c:f>Trolox!$E$5:$E$10</c:f>
              <c:numCache>
                <c:formatCode>General</c:formatCode>
                <c:ptCount val="6"/>
                <c:pt idx="0">
                  <c:v>17.795059469350406</c:v>
                </c:pt>
                <c:pt idx="1">
                  <c:v>20.814272644098818</c:v>
                </c:pt>
                <c:pt idx="2">
                  <c:v>26.440988106129915</c:v>
                </c:pt>
                <c:pt idx="3">
                  <c:v>39.569990850869161</c:v>
                </c:pt>
                <c:pt idx="4">
                  <c:v>54.300091491308322</c:v>
                </c:pt>
                <c:pt idx="5">
                  <c:v>94.419030192131743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9AA9-4AA0-8006-D2C1979816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23310495"/>
        <c:axId val="489934943"/>
      </c:scatterChart>
      <c:valAx>
        <c:axId val="623310495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Trolox uM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9934943"/>
        <c:crosses val="autoZero"/>
        <c:crossBetween val="midCat"/>
      </c:valAx>
      <c:valAx>
        <c:axId val="489934943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Percentage inhibition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23310495"/>
        <c:crosses val="autoZero"/>
        <c:crossBetween val="midCat"/>
      </c:valAx>
      <c:spPr>
        <a:noFill/>
        <a:ln w="25400"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'SWECCD 9'!$E$4</c:f>
              <c:strCache>
                <c:ptCount val="1"/>
                <c:pt idx="0">
                  <c:v>Q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8.6868547681539801E-2"/>
                  <c:y val="0.3745833333333333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'SWECCD 9'!$A$5:$A$8</c:f>
              <c:numCache>
                <c:formatCode>General</c:formatCode>
                <c:ptCount val="4"/>
                <c:pt idx="0">
                  <c:v>0.01</c:v>
                </c:pt>
                <c:pt idx="1">
                  <c:v>0.02</c:v>
                </c:pt>
                <c:pt idx="2">
                  <c:v>0.05</c:v>
                </c:pt>
                <c:pt idx="3">
                  <c:v>0.1</c:v>
                </c:pt>
              </c:numCache>
            </c:numRef>
          </c:xVal>
          <c:yVal>
            <c:numRef>
              <c:f>'SWECCD 9'!$E$5:$E$8</c:f>
              <c:numCache>
                <c:formatCode>General</c:formatCode>
                <c:ptCount val="4"/>
                <c:pt idx="0">
                  <c:v>21.180237877401641</c:v>
                </c:pt>
                <c:pt idx="1">
                  <c:v>49.908508691674292</c:v>
                </c:pt>
                <c:pt idx="2">
                  <c:v>66.33119853613907</c:v>
                </c:pt>
                <c:pt idx="3">
                  <c:v>88.106129917657825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4E72-426E-B996-B6558A585FE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23310495"/>
        <c:axId val="489934943"/>
      </c:scatterChart>
      <c:valAx>
        <c:axId val="623310495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Dilution 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9934943"/>
        <c:crosses val="autoZero"/>
        <c:crossBetween val="midCat"/>
      </c:valAx>
      <c:valAx>
        <c:axId val="489934943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23310495"/>
        <c:crosses val="autoZero"/>
        <c:crossBetween val="midCat"/>
      </c:valAx>
      <c:spPr>
        <a:noFill/>
        <a:ln w="25400"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'SWECCD 10'!$E$4</c:f>
              <c:strCache>
                <c:ptCount val="1"/>
                <c:pt idx="0">
                  <c:v>Q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8.6868547681539801E-2"/>
                  <c:y val="0.3745833333333333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'SWECCD 10'!$A$5:$A$8</c:f>
              <c:numCache>
                <c:formatCode>General</c:formatCode>
                <c:ptCount val="4"/>
                <c:pt idx="0">
                  <c:v>0.01</c:v>
                </c:pt>
                <c:pt idx="1">
                  <c:v>0.02</c:v>
                </c:pt>
                <c:pt idx="2">
                  <c:v>0.05</c:v>
                </c:pt>
                <c:pt idx="3">
                  <c:v>0.1</c:v>
                </c:pt>
              </c:numCache>
            </c:numRef>
          </c:xVal>
          <c:yVal>
            <c:numRef>
              <c:f>'SWECCD 10'!$E$5:$E$8</c:f>
              <c:numCache>
                <c:formatCode>General</c:formatCode>
                <c:ptCount val="4"/>
                <c:pt idx="0">
                  <c:v>34.400731930466598</c:v>
                </c:pt>
                <c:pt idx="1">
                  <c:v>42.451967063129004</c:v>
                </c:pt>
                <c:pt idx="2">
                  <c:v>62.397072278133578</c:v>
                </c:pt>
                <c:pt idx="3">
                  <c:v>85.498627630375111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14FB-439C-94B0-FCA2DD8D883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23310495"/>
        <c:axId val="489934943"/>
      </c:scatterChart>
      <c:valAx>
        <c:axId val="623310495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Dilution 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9934943"/>
        <c:crosses val="autoZero"/>
        <c:crossBetween val="midCat"/>
      </c:valAx>
      <c:valAx>
        <c:axId val="489934943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23310495"/>
        <c:crosses val="autoZero"/>
        <c:crossBetween val="midCat"/>
      </c:valAx>
      <c:spPr>
        <a:noFill/>
        <a:ln w="25400"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'SWECCD 11 '!$E$4</c:f>
              <c:strCache>
                <c:ptCount val="1"/>
                <c:pt idx="0">
                  <c:v>Q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8.6868547681539801E-2"/>
                  <c:y val="0.3745833333333333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'SWECCD 11 '!$A$5:$A$8</c:f>
              <c:numCache>
                <c:formatCode>General</c:formatCode>
                <c:ptCount val="4"/>
                <c:pt idx="0">
                  <c:v>0.01</c:v>
                </c:pt>
                <c:pt idx="1">
                  <c:v>0.02</c:v>
                </c:pt>
                <c:pt idx="2">
                  <c:v>0.05</c:v>
                </c:pt>
                <c:pt idx="3">
                  <c:v>0.1</c:v>
                </c:pt>
              </c:numCache>
            </c:numRef>
          </c:xVal>
          <c:yVal>
            <c:numRef>
              <c:f>'SWECCD 11 '!$E$5:$E$8</c:f>
              <c:numCache>
                <c:formatCode>General</c:formatCode>
                <c:ptCount val="4"/>
                <c:pt idx="0">
                  <c:v>30.695333943275383</c:v>
                </c:pt>
                <c:pt idx="1">
                  <c:v>33.897529734675203</c:v>
                </c:pt>
                <c:pt idx="2">
                  <c:v>69.624885635864601</c:v>
                </c:pt>
                <c:pt idx="3">
                  <c:v>90.073193046660577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9209-4D12-9999-5E1E9A4A286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23310495"/>
        <c:axId val="489934943"/>
      </c:scatterChart>
      <c:valAx>
        <c:axId val="623310495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Dilution 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9934943"/>
        <c:crosses val="autoZero"/>
        <c:crossBetween val="midCat"/>
      </c:valAx>
      <c:valAx>
        <c:axId val="489934943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23310495"/>
        <c:crosses val="autoZero"/>
        <c:crossBetween val="midCat"/>
      </c:valAx>
      <c:spPr>
        <a:noFill/>
        <a:ln w="25400"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'SWECCD 12'!$E$4</c:f>
              <c:strCache>
                <c:ptCount val="1"/>
                <c:pt idx="0">
                  <c:v>Q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8.6868547681539801E-2"/>
                  <c:y val="0.3745833333333333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'SWECCD 12'!$A$5:$A$8</c:f>
              <c:numCache>
                <c:formatCode>General</c:formatCode>
                <c:ptCount val="4"/>
                <c:pt idx="0">
                  <c:v>0.01</c:v>
                </c:pt>
                <c:pt idx="1">
                  <c:v>0.02</c:v>
                </c:pt>
                <c:pt idx="2">
                  <c:v>0.05</c:v>
                </c:pt>
                <c:pt idx="3">
                  <c:v>0.1</c:v>
                </c:pt>
              </c:numCache>
            </c:numRef>
          </c:xVal>
          <c:yVal>
            <c:numRef>
              <c:f>'SWECCD 12'!$E$5:$E$8</c:f>
              <c:numCache>
                <c:formatCode>General</c:formatCode>
                <c:ptCount val="4"/>
                <c:pt idx="0">
                  <c:v>32.98261665141812</c:v>
                </c:pt>
                <c:pt idx="1">
                  <c:v>37.923147301006388</c:v>
                </c:pt>
                <c:pt idx="2">
                  <c:v>72.003659652333013</c:v>
                </c:pt>
                <c:pt idx="3">
                  <c:v>85.590118938700826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C31D-4646-9519-E001B306F68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23310495"/>
        <c:axId val="489934943"/>
      </c:scatterChart>
      <c:valAx>
        <c:axId val="623310495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Dilution 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9934943"/>
        <c:crosses val="autoZero"/>
        <c:crossBetween val="midCat"/>
      </c:valAx>
      <c:valAx>
        <c:axId val="489934943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23310495"/>
        <c:crosses val="autoZero"/>
        <c:crossBetween val="midCat"/>
      </c:valAx>
      <c:spPr>
        <a:noFill/>
        <a:ln w="25400"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'SWECCD 13'!$E$4</c:f>
              <c:strCache>
                <c:ptCount val="1"/>
                <c:pt idx="0">
                  <c:v>Q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8.6868547681539801E-2"/>
                  <c:y val="0.3745833333333333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'SWECCD 13'!$A$5:$A$8</c:f>
              <c:numCache>
                <c:formatCode>General</c:formatCode>
                <c:ptCount val="4"/>
                <c:pt idx="0">
                  <c:v>0.01</c:v>
                </c:pt>
                <c:pt idx="1">
                  <c:v>0.02</c:v>
                </c:pt>
                <c:pt idx="2">
                  <c:v>0.05</c:v>
                </c:pt>
                <c:pt idx="3">
                  <c:v>0.1</c:v>
                </c:pt>
              </c:numCache>
            </c:numRef>
          </c:xVal>
          <c:yVal>
            <c:numRef>
              <c:f>'SWECCD 13'!$E$5:$E$8</c:f>
              <c:numCache>
                <c:formatCode>General</c:formatCode>
                <c:ptCount val="4"/>
                <c:pt idx="0">
                  <c:v>26.440988106129915</c:v>
                </c:pt>
                <c:pt idx="1">
                  <c:v>45.471180237877398</c:v>
                </c:pt>
                <c:pt idx="2">
                  <c:v>71.134492223238794</c:v>
                </c:pt>
                <c:pt idx="3">
                  <c:v>89.20402561756633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1D83-43C7-B2E5-24AA8C3F41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23310495"/>
        <c:axId val="489934943"/>
      </c:scatterChart>
      <c:valAx>
        <c:axId val="623310495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Dilution 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9934943"/>
        <c:crosses val="autoZero"/>
        <c:crossBetween val="midCat"/>
      </c:valAx>
      <c:valAx>
        <c:axId val="489934943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23310495"/>
        <c:crosses val="autoZero"/>
        <c:crossBetween val="midCat"/>
      </c:valAx>
      <c:spPr>
        <a:noFill/>
        <a:ln w="25400"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'SWECCD 14'!$E$4</c:f>
              <c:strCache>
                <c:ptCount val="1"/>
                <c:pt idx="0">
                  <c:v>Q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8.6868547681539801E-2"/>
                  <c:y val="0.3745833333333333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'SWECCD 14'!$A$5:$A$8</c:f>
              <c:numCache>
                <c:formatCode>General</c:formatCode>
                <c:ptCount val="4"/>
                <c:pt idx="0">
                  <c:v>0.01</c:v>
                </c:pt>
                <c:pt idx="1">
                  <c:v>0.02</c:v>
                </c:pt>
                <c:pt idx="2">
                  <c:v>0.05</c:v>
                </c:pt>
                <c:pt idx="3">
                  <c:v>0.1</c:v>
                </c:pt>
              </c:numCache>
            </c:numRef>
          </c:xVal>
          <c:yVal>
            <c:numRef>
              <c:f>'SWECCD 14'!$E$5:$E$8</c:f>
              <c:numCache>
                <c:formatCode>General</c:formatCode>
                <c:ptCount val="4"/>
                <c:pt idx="0">
                  <c:v>28.453796889295514</c:v>
                </c:pt>
                <c:pt idx="1">
                  <c:v>41.491308325709063</c:v>
                </c:pt>
                <c:pt idx="2">
                  <c:v>74.656907593778584</c:v>
                </c:pt>
                <c:pt idx="3">
                  <c:v>89.707227813357733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876E-45F2-ACF5-1E88F150D8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23310495"/>
        <c:axId val="489934943"/>
      </c:scatterChart>
      <c:valAx>
        <c:axId val="623310495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Dilution 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9934943"/>
        <c:crosses val="autoZero"/>
        <c:crossBetween val="midCat"/>
      </c:valAx>
      <c:valAx>
        <c:axId val="489934943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23310495"/>
        <c:crosses val="autoZero"/>
        <c:crossBetween val="midCat"/>
      </c:valAx>
      <c:spPr>
        <a:noFill/>
        <a:ln w="25400"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'SWECCD 15'!$E$4</c:f>
              <c:strCache>
                <c:ptCount val="1"/>
                <c:pt idx="0">
                  <c:v>Q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8.6868547681539801E-2"/>
                  <c:y val="0.3745833333333333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'SWECCD 15'!$A$5:$A$8</c:f>
              <c:numCache>
                <c:formatCode>General</c:formatCode>
                <c:ptCount val="4"/>
                <c:pt idx="0">
                  <c:v>0.01</c:v>
                </c:pt>
                <c:pt idx="1">
                  <c:v>0.02</c:v>
                </c:pt>
                <c:pt idx="2">
                  <c:v>0.05</c:v>
                </c:pt>
                <c:pt idx="3">
                  <c:v>0.1</c:v>
                </c:pt>
              </c:numCache>
            </c:numRef>
          </c:xVal>
          <c:yVal>
            <c:numRef>
              <c:f>'SWECCD 15'!$E$5:$E$8</c:f>
              <c:numCache>
                <c:formatCode>General</c:formatCode>
                <c:ptCount val="4"/>
                <c:pt idx="0">
                  <c:v>14.63860933211344</c:v>
                </c:pt>
                <c:pt idx="1">
                  <c:v>29.963403476669704</c:v>
                </c:pt>
                <c:pt idx="2">
                  <c:v>61.573650503202195</c:v>
                </c:pt>
                <c:pt idx="3">
                  <c:v>84.858188472095151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EA0B-4BF4-8265-5E28522306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23310495"/>
        <c:axId val="489934943"/>
      </c:scatterChart>
      <c:valAx>
        <c:axId val="623310495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Dilution 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9934943"/>
        <c:crosses val="autoZero"/>
        <c:crossBetween val="midCat"/>
      </c:valAx>
      <c:valAx>
        <c:axId val="489934943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23310495"/>
        <c:crosses val="autoZero"/>
        <c:crossBetween val="midCat"/>
      </c:valAx>
      <c:spPr>
        <a:noFill/>
        <a:ln w="25400"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'SWECCD 16'!$E$4</c:f>
              <c:strCache>
                <c:ptCount val="1"/>
                <c:pt idx="0">
                  <c:v>Q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8.6868547681539801E-2"/>
                  <c:y val="0.3745833333333333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'SWECCD 16'!$A$5:$A$8</c:f>
              <c:numCache>
                <c:formatCode>General</c:formatCode>
                <c:ptCount val="4"/>
                <c:pt idx="0">
                  <c:v>0.01</c:v>
                </c:pt>
                <c:pt idx="1">
                  <c:v>0.02</c:v>
                </c:pt>
                <c:pt idx="2">
                  <c:v>0.05</c:v>
                </c:pt>
                <c:pt idx="3">
                  <c:v>0.1</c:v>
                </c:pt>
              </c:numCache>
            </c:numRef>
          </c:xVal>
          <c:yVal>
            <c:numRef>
              <c:f>'SWECCD 16'!$E$5:$E$8</c:f>
              <c:numCache>
                <c:formatCode>General</c:formatCode>
                <c:ptCount val="4"/>
                <c:pt idx="0">
                  <c:v>38.838060384263486</c:v>
                </c:pt>
                <c:pt idx="1">
                  <c:v>46.431838975297332</c:v>
                </c:pt>
                <c:pt idx="2">
                  <c:v>82.616651418115282</c:v>
                </c:pt>
                <c:pt idx="3">
                  <c:v>89.47849954254346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3829-4C49-8BFC-B252A2B03F5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23310495"/>
        <c:axId val="489934943"/>
      </c:scatterChart>
      <c:valAx>
        <c:axId val="623310495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Dilution 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9934943"/>
        <c:crosses val="autoZero"/>
        <c:crossBetween val="midCat"/>
      </c:valAx>
      <c:valAx>
        <c:axId val="489934943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23310495"/>
        <c:crosses val="autoZero"/>
        <c:crossBetween val="midCat"/>
      </c:valAx>
      <c:spPr>
        <a:noFill/>
        <a:ln w="25400"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'SWECCD 17'!$E$4</c:f>
              <c:strCache>
                <c:ptCount val="1"/>
                <c:pt idx="0">
                  <c:v>Q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8.6868547681539801E-2"/>
                  <c:y val="0.3745833333333333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'SWECCD 17'!$A$5:$A$8</c:f>
              <c:numCache>
                <c:formatCode>General</c:formatCode>
                <c:ptCount val="4"/>
                <c:pt idx="0">
                  <c:v>0.01</c:v>
                </c:pt>
                <c:pt idx="1">
                  <c:v>0.02</c:v>
                </c:pt>
                <c:pt idx="2">
                  <c:v>0.05</c:v>
                </c:pt>
                <c:pt idx="3">
                  <c:v>0.1</c:v>
                </c:pt>
              </c:numCache>
            </c:numRef>
          </c:xVal>
          <c:yVal>
            <c:numRef>
              <c:f>'SWECCD 17'!$E$5:$E$8</c:f>
              <c:numCache>
                <c:formatCode>General</c:formatCode>
                <c:ptCount val="4"/>
                <c:pt idx="0">
                  <c:v>59.698078682525157</c:v>
                </c:pt>
                <c:pt idx="1">
                  <c:v>76.715462031107037</c:v>
                </c:pt>
                <c:pt idx="2">
                  <c:v>85.132662397072281</c:v>
                </c:pt>
                <c:pt idx="3">
                  <c:v>89.158279963403473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B8D2-49DA-8E70-9106EF0AA2D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23310495"/>
        <c:axId val="489934943"/>
      </c:scatterChart>
      <c:valAx>
        <c:axId val="623310495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Dilution 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9934943"/>
        <c:crosses val="autoZero"/>
        <c:crossBetween val="midCat"/>
      </c:valAx>
      <c:valAx>
        <c:axId val="489934943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23310495"/>
        <c:crosses val="autoZero"/>
        <c:crossBetween val="midCat"/>
      </c:valAx>
      <c:spPr>
        <a:noFill/>
        <a:ln w="25400"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'SWECCD 18'!$E$4</c:f>
              <c:strCache>
                <c:ptCount val="1"/>
                <c:pt idx="0">
                  <c:v>Q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8.6868547681539801E-2"/>
                  <c:y val="0.3745833333333333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'SWECCD 18'!$A$5:$A$8</c:f>
              <c:numCache>
                <c:formatCode>General</c:formatCode>
                <c:ptCount val="4"/>
                <c:pt idx="0">
                  <c:v>0.01</c:v>
                </c:pt>
                <c:pt idx="1">
                  <c:v>0.02</c:v>
                </c:pt>
                <c:pt idx="2">
                  <c:v>0.05</c:v>
                </c:pt>
                <c:pt idx="3">
                  <c:v>0.1</c:v>
                </c:pt>
              </c:numCache>
            </c:numRef>
          </c:xVal>
          <c:yVal>
            <c:numRef>
              <c:f>'SWECCD 18'!$E$5:$E$8</c:f>
              <c:numCache>
                <c:formatCode>General</c:formatCode>
                <c:ptCount val="4"/>
                <c:pt idx="0">
                  <c:v>38.838060384263486</c:v>
                </c:pt>
                <c:pt idx="1">
                  <c:v>46.065873741994508</c:v>
                </c:pt>
                <c:pt idx="2">
                  <c:v>82.616651418115282</c:v>
                </c:pt>
                <c:pt idx="3">
                  <c:v>89.47849954254346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BC61-4F46-BEB7-A0B9B9E5B3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23310495"/>
        <c:axId val="489934943"/>
      </c:scatterChart>
      <c:valAx>
        <c:axId val="623310495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Dilution 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9934943"/>
        <c:crosses val="autoZero"/>
        <c:crossBetween val="midCat"/>
      </c:valAx>
      <c:valAx>
        <c:axId val="489934943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23310495"/>
        <c:crosses val="autoZero"/>
        <c:crossBetween val="midCat"/>
      </c:valAx>
      <c:spPr>
        <a:noFill/>
        <a:ln w="25400"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'SWECCD 1'!$E$4</c:f>
              <c:strCache>
                <c:ptCount val="1"/>
                <c:pt idx="0">
                  <c:v>Qaverage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8.6868547681539801E-2"/>
                  <c:y val="0.3745833333333333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'SWECCD 1'!$A$5:$A$8</c:f>
              <c:numCache>
                <c:formatCode>General</c:formatCode>
                <c:ptCount val="4"/>
                <c:pt idx="0">
                  <c:v>0.01</c:v>
                </c:pt>
                <c:pt idx="1">
                  <c:v>0.02</c:v>
                </c:pt>
                <c:pt idx="2">
                  <c:v>0.05</c:v>
                </c:pt>
                <c:pt idx="3">
                  <c:v>0.1</c:v>
                </c:pt>
              </c:numCache>
            </c:numRef>
          </c:xVal>
          <c:yVal>
            <c:numRef>
              <c:f>'SWECCD 1'!$E$5:$E$8</c:f>
              <c:numCache>
                <c:formatCode>General</c:formatCode>
                <c:ptCount val="4"/>
                <c:pt idx="0">
                  <c:v>29.643183897529735</c:v>
                </c:pt>
                <c:pt idx="1">
                  <c:v>35.407136322049396</c:v>
                </c:pt>
                <c:pt idx="2">
                  <c:v>58.279963403476678</c:v>
                </c:pt>
                <c:pt idx="3">
                  <c:v>87.602927721866422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D88E-4910-A2C9-85EA466D490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23310495"/>
        <c:axId val="489934943"/>
      </c:scatterChart>
      <c:valAx>
        <c:axId val="623310495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Dilution 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9934943"/>
        <c:crosses val="autoZero"/>
        <c:crossBetween val="midCat"/>
      </c:valAx>
      <c:valAx>
        <c:axId val="489934943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23310495"/>
        <c:crosses val="autoZero"/>
        <c:crossBetween val="midCat"/>
      </c:valAx>
      <c:spPr>
        <a:noFill/>
        <a:ln w="25400"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'SWECCD 19'!$E$4</c:f>
              <c:strCache>
                <c:ptCount val="1"/>
                <c:pt idx="0">
                  <c:v>Q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8.6868547681539801E-2"/>
                  <c:y val="0.3745833333333333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'SWECCD 19'!$A$5:$A$8</c:f>
              <c:numCache>
                <c:formatCode>General</c:formatCode>
                <c:ptCount val="4"/>
                <c:pt idx="0">
                  <c:v>0.01</c:v>
                </c:pt>
                <c:pt idx="1">
                  <c:v>0.02</c:v>
                </c:pt>
                <c:pt idx="2">
                  <c:v>0.05</c:v>
                </c:pt>
                <c:pt idx="3">
                  <c:v>0.1</c:v>
                </c:pt>
              </c:numCache>
            </c:numRef>
          </c:xVal>
          <c:yVal>
            <c:numRef>
              <c:f>'SWECCD 19'!$E$5:$E$8</c:f>
              <c:numCache>
                <c:formatCode>General</c:formatCode>
                <c:ptCount val="4"/>
                <c:pt idx="0">
                  <c:v>16.605672461116193</c:v>
                </c:pt>
                <c:pt idx="1">
                  <c:v>26.94419030192131</c:v>
                </c:pt>
                <c:pt idx="2">
                  <c:v>51.829826166514181</c:v>
                </c:pt>
                <c:pt idx="3">
                  <c:v>79.688929551692596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67FA-49EF-AAAA-B0452A30AB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23310495"/>
        <c:axId val="489934943"/>
      </c:scatterChart>
      <c:valAx>
        <c:axId val="623310495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Dilution 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9934943"/>
        <c:crosses val="autoZero"/>
        <c:crossBetween val="midCat"/>
      </c:valAx>
      <c:valAx>
        <c:axId val="489934943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23310495"/>
        <c:crosses val="autoZero"/>
        <c:crossBetween val="midCat"/>
      </c:valAx>
      <c:spPr>
        <a:noFill/>
        <a:ln w="25400"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'SWECCD 20'!$E$4</c:f>
              <c:strCache>
                <c:ptCount val="1"/>
                <c:pt idx="0">
                  <c:v>Q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8.6868547681539801E-2"/>
                  <c:y val="0.3745833333333333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'SWECCD 20'!$A$5:$A$8</c:f>
              <c:numCache>
                <c:formatCode>General</c:formatCode>
                <c:ptCount val="4"/>
                <c:pt idx="0">
                  <c:v>0.01</c:v>
                </c:pt>
                <c:pt idx="1">
                  <c:v>0.02</c:v>
                </c:pt>
                <c:pt idx="2">
                  <c:v>0.05</c:v>
                </c:pt>
                <c:pt idx="3">
                  <c:v>0.1</c:v>
                </c:pt>
              </c:numCache>
            </c:numRef>
          </c:xVal>
          <c:yVal>
            <c:numRef>
              <c:f>'SWECCD 20'!$E$5:$E$8</c:f>
              <c:numCache>
                <c:formatCode>General</c:formatCode>
                <c:ptCount val="4"/>
                <c:pt idx="0">
                  <c:v>39.478499542543453</c:v>
                </c:pt>
                <c:pt idx="1">
                  <c:v>52.01280878316561</c:v>
                </c:pt>
                <c:pt idx="2">
                  <c:v>85.590118938700826</c:v>
                </c:pt>
                <c:pt idx="3">
                  <c:v>88.655077767612084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B11B-46B2-9DA7-A202A0FB3B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23310495"/>
        <c:axId val="489934943"/>
      </c:scatterChart>
      <c:valAx>
        <c:axId val="623310495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Dilution 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9934943"/>
        <c:crosses val="autoZero"/>
        <c:crossBetween val="midCat"/>
      </c:valAx>
      <c:valAx>
        <c:axId val="489934943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23310495"/>
        <c:crosses val="autoZero"/>
        <c:crossBetween val="midCat"/>
      </c:valAx>
      <c:spPr>
        <a:noFill/>
        <a:ln w="25400"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'SWECCD 5B'!$E$4</c:f>
              <c:strCache>
                <c:ptCount val="1"/>
                <c:pt idx="0">
                  <c:v>Q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8.6868547681539801E-2"/>
                  <c:y val="0.3745833333333333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'SWECCD 5B'!$A$5:$A$8</c:f>
              <c:numCache>
                <c:formatCode>General</c:formatCode>
                <c:ptCount val="4"/>
                <c:pt idx="0">
                  <c:v>0.01</c:v>
                </c:pt>
                <c:pt idx="1">
                  <c:v>0.02</c:v>
                </c:pt>
                <c:pt idx="2">
                  <c:v>0.05</c:v>
                </c:pt>
                <c:pt idx="3">
                  <c:v>0.1</c:v>
                </c:pt>
              </c:numCache>
            </c:numRef>
          </c:xVal>
          <c:yVal>
            <c:numRef>
              <c:f>'SWECCD 5B'!$E$5:$E$8</c:f>
              <c:numCache>
                <c:formatCode>General</c:formatCode>
                <c:ptCount val="4"/>
                <c:pt idx="0">
                  <c:v>17.978042086001821</c:v>
                </c:pt>
                <c:pt idx="1">
                  <c:v>35.72735590118937</c:v>
                </c:pt>
                <c:pt idx="2">
                  <c:v>68.481244281793224</c:v>
                </c:pt>
                <c:pt idx="3">
                  <c:v>88.380603842634955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1DA5-4C93-84BC-7D1F34C00B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23310495"/>
        <c:axId val="489934943"/>
      </c:scatterChart>
      <c:valAx>
        <c:axId val="623310495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Dilution 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9934943"/>
        <c:crosses val="autoZero"/>
        <c:crossBetween val="midCat"/>
      </c:valAx>
      <c:valAx>
        <c:axId val="489934943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23310495"/>
        <c:crosses val="autoZero"/>
        <c:crossBetween val="midCat"/>
      </c:valAx>
      <c:spPr>
        <a:noFill/>
        <a:ln w="25400"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'SWECCD 2'!$E$4</c:f>
              <c:strCache>
                <c:ptCount val="1"/>
                <c:pt idx="0">
                  <c:v>Q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8.6868547681539801E-2"/>
                  <c:y val="0.3745833333333333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'SWECCD 2'!$A$5:$A$8</c:f>
              <c:numCache>
                <c:formatCode>General</c:formatCode>
                <c:ptCount val="4"/>
                <c:pt idx="0">
                  <c:v>0.01</c:v>
                </c:pt>
                <c:pt idx="1">
                  <c:v>0.02</c:v>
                </c:pt>
                <c:pt idx="2">
                  <c:v>0.05</c:v>
                </c:pt>
                <c:pt idx="3">
                  <c:v>0.1</c:v>
                </c:pt>
              </c:numCache>
            </c:numRef>
          </c:xVal>
          <c:yVal>
            <c:numRef>
              <c:f>'SWECCD 2'!$E$5:$E$8</c:f>
              <c:numCache>
                <c:formatCode>General</c:formatCode>
                <c:ptCount val="4"/>
                <c:pt idx="0">
                  <c:v>34.766697163769436</c:v>
                </c:pt>
                <c:pt idx="1">
                  <c:v>64.638609332113447</c:v>
                </c:pt>
                <c:pt idx="2">
                  <c:v>88.243366880146397</c:v>
                </c:pt>
                <c:pt idx="3">
                  <c:v>92.131747483989017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96E9-49E7-9264-65BA433EF1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23310495"/>
        <c:axId val="489934943"/>
      </c:scatterChart>
      <c:valAx>
        <c:axId val="623310495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Dilution 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9934943"/>
        <c:crosses val="autoZero"/>
        <c:crossBetween val="midCat"/>
      </c:valAx>
      <c:valAx>
        <c:axId val="489934943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23310495"/>
        <c:crosses val="autoZero"/>
        <c:crossBetween val="midCat"/>
      </c:valAx>
      <c:spPr>
        <a:noFill/>
        <a:ln w="25400"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'SWECCD 3'!$E$4</c:f>
              <c:strCache>
                <c:ptCount val="1"/>
                <c:pt idx="0">
                  <c:v>Q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8.6868547681539801E-2"/>
                  <c:y val="0.3745833333333333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'SWECCD 3'!$A$5:$A$8</c:f>
              <c:numCache>
                <c:formatCode>General</c:formatCode>
                <c:ptCount val="4"/>
                <c:pt idx="0">
                  <c:v>0.01</c:v>
                </c:pt>
                <c:pt idx="1">
                  <c:v>0.02</c:v>
                </c:pt>
                <c:pt idx="2">
                  <c:v>0.05</c:v>
                </c:pt>
                <c:pt idx="3">
                  <c:v>0.1</c:v>
                </c:pt>
              </c:numCache>
            </c:numRef>
          </c:xVal>
          <c:yVal>
            <c:numRef>
              <c:f>'SWECCD 3'!$E$5:$E$8</c:f>
              <c:numCache>
                <c:formatCode>General</c:formatCode>
                <c:ptCount val="4"/>
                <c:pt idx="0">
                  <c:v>31.335773101555343</c:v>
                </c:pt>
                <c:pt idx="1">
                  <c:v>32.204940530649587</c:v>
                </c:pt>
                <c:pt idx="2">
                  <c:v>55.169258920402562</c:v>
                </c:pt>
                <c:pt idx="3">
                  <c:v>79.185727355901193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F3DA-4D1C-930D-884D62AD1A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23310495"/>
        <c:axId val="489934943"/>
      </c:scatterChart>
      <c:valAx>
        <c:axId val="623310495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Dilution 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9934943"/>
        <c:crosses val="autoZero"/>
        <c:crossBetween val="midCat"/>
      </c:valAx>
      <c:valAx>
        <c:axId val="489934943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23310495"/>
        <c:crosses val="autoZero"/>
        <c:crossBetween val="midCat"/>
      </c:valAx>
      <c:spPr>
        <a:noFill/>
        <a:ln w="25400"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'SWECCD 4'!$E$4</c:f>
              <c:strCache>
                <c:ptCount val="1"/>
                <c:pt idx="0">
                  <c:v>Q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8.6868547681539801E-2"/>
                  <c:y val="0.3745833333333333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strRef>
              <c:f>'SWECCD 4'!$A$5:$A$18</c:f>
              <c:strCache>
                <c:ptCount val="12"/>
                <c:pt idx="0">
                  <c:v>0.01</c:v>
                </c:pt>
                <c:pt idx="1">
                  <c:v>0.02</c:v>
                </c:pt>
                <c:pt idx="2">
                  <c:v>0.05</c:v>
                </c:pt>
                <c:pt idx="3">
                  <c:v>0.1</c:v>
                </c:pt>
                <c:pt idx="7">
                  <c:v>IC50</c:v>
                </c:pt>
                <c:pt idx="8">
                  <c:v>TE (uM)</c:v>
                </c:pt>
                <c:pt idx="9">
                  <c:v>TE mg/mL</c:v>
                </c:pt>
                <c:pt idx="10">
                  <c:v>mg TE/ g SCG</c:v>
                </c:pt>
                <c:pt idx="11">
                  <c:v>umolTE/g SCG</c:v>
                </c:pt>
              </c:strCache>
            </c:strRef>
          </c:xVal>
          <c:yVal>
            <c:numRef>
              <c:f>'SWECCD 4'!$E$5:$E$18</c:f>
              <c:numCache>
                <c:formatCode>General</c:formatCode>
                <c:ptCount val="14"/>
                <c:pt idx="0">
                  <c:v>38.01463860933211</c:v>
                </c:pt>
                <c:pt idx="1">
                  <c:v>45.608417200365956</c:v>
                </c:pt>
                <c:pt idx="2">
                  <c:v>85.635864592863669</c:v>
                </c:pt>
                <c:pt idx="3">
                  <c:v>89.844464775846305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E8E1-4DF4-84E2-7C9DF921EB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23310495"/>
        <c:axId val="489934943"/>
      </c:scatterChart>
      <c:valAx>
        <c:axId val="623310495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Dilution 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9934943"/>
        <c:crosses val="autoZero"/>
        <c:crossBetween val="midCat"/>
      </c:valAx>
      <c:valAx>
        <c:axId val="489934943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23310495"/>
        <c:crosses val="autoZero"/>
        <c:crossBetween val="midCat"/>
      </c:valAx>
      <c:spPr>
        <a:noFill/>
        <a:ln w="25400"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'SWECCD 5'!$E$4</c:f>
              <c:strCache>
                <c:ptCount val="1"/>
                <c:pt idx="0">
                  <c:v>Q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8.6868547681539801E-2"/>
                  <c:y val="0.3745833333333333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'SWECCD 5'!$A$5:$A$8</c:f>
              <c:numCache>
                <c:formatCode>General</c:formatCode>
                <c:ptCount val="4"/>
                <c:pt idx="0">
                  <c:v>0.01</c:v>
                </c:pt>
                <c:pt idx="1">
                  <c:v>0.02</c:v>
                </c:pt>
                <c:pt idx="2">
                  <c:v>0.05</c:v>
                </c:pt>
                <c:pt idx="3">
                  <c:v>0.1</c:v>
                </c:pt>
              </c:numCache>
            </c:numRef>
          </c:xVal>
          <c:yVal>
            <c:numRef>
              <c:f>'SWECCD 5'!$E$5:$E$8</c:f>
              <c:numCache>
                <c:formatCode>General</c:formatCode>
                <c:ptCount val="4"/>
                <c:pt idx="0">
                  <c:v>26.898444647758467</c:v>
                </c:pt>
                <c:pt idx="1">
                  <c:v>39.112534309240623</c:v>
                </c:pt>
                <c:pt idx="2">
                  <c:v>57.593778591033853</c:v>
                </c:pt>
                <c:pt idx="3">
                  <c:v>83.989021043000918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5DEC-4110-989C-5F45FFAFEF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23310495"/>
        <c:axId val="489934943"/>
      </c:scatterChart>
      <c:valAx>
        <c:axId val="623310495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Dilution 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9934943"/>
        <c:crosses val="autoZero"/>
        <c:crossBetween val="midCat"/>
      </c:valAx>
      <c:valAx>
        <c:axId val="489934943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23310495"/>
        <c:crosses val="autoZero"/>
        <c:crossBetween val="midCat"/>
      </c:valAx>
      <c:spPr>
        <a:noFill/>
        <a:ln w="25400"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'SWECCD 6'!$E$4</c:f>
              <c:strCache>
                <c:ptCount val="1"/>
                <c:pt idx="0">
                  <c:v>Q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8.6868547681539801E-2"/>
                  <c:y val="0.3745833333333333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'SWECCD 6'!$A$5:$A$8</c:f>
              <c:numCache>
                <c:formatCode>General</c:formatCode>
                <c:ptCount val="4"/>
                <c:pt idx="0">
                  <c:v>0.01</c:v>
                </c:pt>
                <c:pt idx="1">
                  <c:v>0.02</c:v>
                </c:pt>
                <c:pt idx="2">
                  <c:v>0.05</c:v>
                </c:pt>
                <c:pt idx="3">
                  <c:v>0.1</c:v>
                </c:pt>
              </c:numCache>
            </c:numRef>
          </c:xVal>
          <c:yVal>
            <c:numRef>
              <c:f>'SWECCD 6'!$E$5:$E$8</c:f>
              <c:numCache>
                <c:formatCode>General</c:formatCode>
                <c:ptCount val="4"/>
                <c:pt idx="0">
                  <c:v>54.254345837145465</c:v>
                </c:pt>
                <c:pt idx="1">
                  <c:v>58.966148215919475</c:v>
                </c:pt>
                <c:pt idx="2">
                  <c:v>85.361390667886553</c:v>
                </c:pt>
                <c:pt idx="3">
                  <c:v>90.484903934126265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A3E1-4876-B4BC-661E362E5B3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23310495"/>
        <c:axId val="489934943"/>
      </c:scatterChart>
      <c:valAx>
        <c:axId val="623310495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Dilution 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9934943"/>
        <c:crosses val="autoZero"/>
        <c:crossBetween val="midCat"/>
      </c:valAx>
      <c:valAx>
        <c:axId val="489934943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23310495"/>
        <c:crosses val="autoZero"/>
        <c:crossBetween val="midCat"/>
      </c:valAx>
      <c:spPr>
        <a:noFill/>
        <a:ln w="25400"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'SWECCD 7'!$E$4</c:f>
              <c:strCache>
                <c:ptCount val="1"/>
                <c:pt idx="0">
                  <c:v>Q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8.6868547681539801E-2"/>
                  <c:y val="0.3745833333333333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'SWECCD 7'!$A$5:$A$8</c:f>
              <c:numCache>
                <c:formatCode>General</c:formatCode>
                <c:ptCount val="4"/>
                <c:pt idx="0">
                  <c:v>0.01</c:v>
                </c:pt>
                <c:pt idx="1">
                  <c:v>0.02</c:v>
                </c:pt>
                <c:pt idx="2">
                  <c:v>0.05</c:v>
                </c:pt>
                <c:pt idx="3">
                  <c:v>0.1</c:v>
                </c:pt>
              </c:numCache>
            </c:numRef>
          </c:xVal>
          <c:yVal>
            <c:numRef>
              <c:f>'SWECCD 7'!$E$5:$E$8</c:f>
              <c:numCache>
                <c:formatCode>General</c:formatCode>
                <c:ptCount val="4"/>
                <c:pt idx="0">
                  <c:v>52.973467520585537</c:v>
                </c:pt>
                <c:pt idx="1">
                  <c:v>57.548032936870996</c:v>
                </c:pt>
                <c:pt idx="2">
                  <c:v>91.354071363220484</c:v>
                </c:pt>
                <c:pt idx="3">
                  <c:v>92.451967063129004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EAAB-404A-97EE-511A0C9F1C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23310495"/>
        <c:axId val="489934943"/>
      </c:scatterChart>
      <c:valAx>
        <c:axId val="623310495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Dilution 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9934943"/>
        <c:crosses val="autoZero"/>
        <c:crossBetween val="midCat"/>
      </c:valAx>
      <c:valAx>
        <c:axId val="489934943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23310495"/>
        <c:crosses val="autoZero"/>
        <c:crossBetween val="midCat"/>
      </c:valAx>
      <c:spPr>
        <a:noFill/>
        <a:ln w="25400"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'SWECCD 8'!$E$4</c:f>
              <c:strCache>
                <c:ptCount val="1"/>
                <c:pt idx="0">
                  <c:v>Q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8.6868547681539801E-2"/>
                  <c:y val="0.3745833333333333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'SWECCD 8'!$A$5:$A$8</c:f>
              <c:numCache>
                <c:formatCode>General</c:formatCode>
                <c:ptCount val="4"/>
                <c:pt idx="0">
                  <c:v>0.01</c:v>
                </c:pt>
                <c:pt idx="1">
                  <c:v>0.02</c:v>
                </c:pt>
                <c:pt idx="2">
                  <c:v>0.05</c:v>
                </c:pt>
                <c:pt idx="3">
                  <c:v>0.1</c:v>
                </c:pt>
              </c:numCache>
            </c:numRef>
          </c:xVal>
          <c:yVal>
            <c:numRef>
              <c:f>'SWECCD 8'!$E$5:$E$8</c:f>
              <c:numCache>
                <c:formatCode>General</c:formatCode>
                <c:ptCount val="4"/>
                <c:pt idx="0">
                  <c:v>31.473010064043915</c:v>
                </c:pt>
                <c:pt idx="1">
                  <c:v>43.138151875571815</c:v>
                </c:pt>
                <c:pt idx="2">
                  <c:v>50.823421774931376</c:v>
                </c:pt>
                <c:pt idx="3">
                  <c:v>73.833485818847208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A5A0-4D18-A6E8-B4052D3D73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23310495"/>
        <c:axId val="489934943"/>
      </c:scatterChart>
      <c:valAx>
        <c:axId val="623310495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Dilution 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9934943"/>
        <c:crosses val="autoZero"/>
        <c:crossBetween val="midCat"/>
      </c:valAx>
      <c:valAx>
        <c:axId val="489934943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23310495"/>
        <c:crosses val="autoZero"/>
        <c:crossBetween val="midCat"/>
      </c:valAx>
      <c:spPr>
        <a:noFill/>
        <a:ln w="25400"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8.xm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9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0.xml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1.xml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388620</xdr:colOff>
      <xdr:row>0</xdr:row>
      <xdr:rowOff>0</xdr:rowOff>
    </xdr:from>
    <xdr:to>
      <xdr:col>13</xdr:col>
      <xdr:colOff>83820</xdr:colOff>
      <xdr:row>15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65268EB-671B-4CBE-9CFC-80A21DFF633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1</xdr:row>
      <xdr:rowOff>7620</xdr:rowOff>
    </xdr:from>
    <xdr:to>
      <xdr:col>15</xdr:col>
      <xdr:colOff>304800</xdr:colOff>
      <xdr:row>16</xdr:row>
      <xdr:rowOff>7620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EA9CB0FF-C8C8-45F1-8680-A46548E23DA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243840</xdr:colOff>
      <xdr:row>2</xdr:row>
      <xdr:rowOff>60960</xdr:rowOff>
    </xdr:from>
    <xdr:to>
      <xdr:col>15</xdr:col>
      <xdr:colOff>548640</xdr:colOff>
      <xdr:row>17</xdr:row>
      <xdr:rowOff>60960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DEFC6F81-E800-43D5-A913-557C78B7DA2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190500</xdr:colOff>
      <xdr:row>0</xdr:row>
      <xdr:rowOff>0</xdr:rowOff>
    </xdr:from>
    <xdr:to>
      <xdr:col>15</xdr:col>
      <xdr:colOff>495300</xdr:colOff>
      <xdr:row>15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8FD535FB-64F8-49D4-80BA-77C89D627E1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152400</xdr:colOff>
      <xdr:row>0</xdr:row>
      <xdr:rowOff>0</xdr:rowOff>
    </xdr:from>
    <xdr:to>
      <xdr:col>14</xdr:col>
      <xdr:colOff>457200</xdr:colOff>
      <xdr:row>15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577062C-D8FC-448A-9C45-9BFE332B01E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45720</xdr:colOff>
      <xdr:row>4</xdr:row>
      <xdr:rowOff>45720</xdr:rowOff>
    </xdr:from>
    <xdr:to>
      <xdr:col>15</xdr:col>
      <xdr:colOff>350520</xdr:colOff>
      <xdr:row>19</xdr:row>
      <xdr:rowOff>45720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BDC3A2BE-5252-46E3-845F-86A205BB6A2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0</xdr:row>
      <xdr:rowOff>0</xdr:rowOff>
    </xdr:from>
    <xdr:to>
      <xdr:col>15</xdr:col>
      <xdr:colOff>304800</xdr:colOff>
      <xdr:row>15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BC2C9D49-0671-4F74-8D55-DEAECB5FD55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502920</xdr:colOff>
      <xdr:row>0</xdr:row>
      <xdr:rowOff>76200</xdr:rowOff>
    </xdr:from>
    <xdr:to>
      <xdr:col>15</xdr:col>
      <xdr:colOff>198120</xdr:colOff>
      <xdr:row>15</xdr:row>
      <xdr:rowOff>76200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BA3B64A3-4896-49D1-8EB7-D2433E2A3DA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213360</xdr:colOff>
      <xdr:row>1</xdr:row>
      <xdr:rowOff>68580</xdr:rowOff>
    </xdr:from>
    <xdr:to>
      <xdr:col>16</xdr:col>
      <xdr:colOff>518160</xdr:colOff>
      <xdr:row>16</xdr:row>
      <xdr:rowOff>68580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EE2AC50B-266B-4F57-B9E7-827E56B763B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563880</xdr:colOff>
      <xdr:row>1</xdr:row>
      <xdr:rowOff>68580</xdr:rowOff>
    </xdr:from>
    <xdr:to>
      <xdr:col>16</xdr:col>
      <xdr:colOff>259080</xdr:colOff>
      <xdr:row>16</xdr:row>
      <xdr:rowOff>68580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F1046A60-4EA8-41D1-AE08-DE099C868E8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22860</xdr:colOff>
      <xdr:row>0</xdr:row>
      <xdr:rowOff>91440</xdr:rowOff>
    </xdr:from>
    <xdr:to>
      <xdr:col>15</xdr:col>
      <xdr:colOff>327660</xdr:colOff>
      <xdr:row>15</xdr:row>
      <xdr:rowOff>91440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5B5CA067-A9A7-4F3C-B1CF-93E4FD7FBC7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373380</xdr:colOff>
      <xdr:row>0</xdr:row>
      <xdr:rowOff>0</xdr:rowOff>
    </xdr:from>
    <xdr:to>
      <xdr:col>16</xdr:col>
      <xdr:colOff>68580</xdr:colOff>
      <xdr:row>15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C242343-A3F6-4929-9AB6-2C42D7E2AA7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525780</xdr:colOff>
      <xdr:row>0</xdr:row>
      <xdr:rowOff>38100</xdr:rowOff>
    </xdr:from>
    <xdr:to>
      <xdr:col>16</xdr:col>
      <xdr:colOff>220980</xdr:colOff>
      <xdr:row>15</xdr:row>
      <xdr:rowOff>38100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505DF7A-6A18-4BB8-BEE8-0651C6E9CDB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342900</xdr:colOff>
      <xdr:row>1</xdr:row>
      <xdr:rowOff>60960</xdr:rowOff>
    </xdr:from>
    <xdr:to>
      <xdr:col>16</xdr:col>
      <xdr:colOff>38100</xdr:colOff>
      <xdr:row>16</xdr:row>
      <xdr:rowOff>60960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D872CB7D-BCC7-47E0-B2A7-EA0E83FF7CC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472440</xdr:colOff>
      <xdr:row>2</xdr:row>
      <xdr:rowOff>60960</xdr:rowOff>
    </xdr:from>
    <xdr:to>
      <xdr:col>16</xdr:col>
      <xdr:colOff>167640</xdr:colOff>
      <xdr:row>17</xdr:row>
      <xdr:rowOff>60960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E301F959-71B6-44CD-83BD-B7B1C2F6C3B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480060</xdr:colOff>
      <xdr:row>1</xdr:row>
      <xdr:rowOff>7620</xdr:rowOff>
    </xdr:from>
    <xdr:to>
      <xdr:col>17</xdr:col>
      <xdr:colOff>175260</xdr:colOff>
      <xdr:row>16</xdr:row>
      <xdr:rowOff>7620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209E682-18F2-4B44-9F23-390AC223F5E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320040</xdr:colOff>
      <xdr:row>1</xdr:row>
      <xdr:rowOff>129540</xdr:rowOff>
    </xdr:from>
    <xdr:to>
      <xdr:col>17</xdr:col>
      <xdr:colOff>15240</xdr:colOff>
      <xdr:row>16</xdr:row>
      <xdr:rowOff>129540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D1FA7A7C-D78B-4F84-A391-C5EDD807458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350520</xdr:colOff>
      <xdr:row>0</xdr:row>
      <xdr:rowOff>45720</xdr:rowOff>
    </xdr:from>
    <xdr:to>
      <xdr:col>16</xdr:col>
      <xdr:colOff>45720</xdr:colOff>
      <xdr:row>15</xdr:row>
      <xdr:rowOff>45720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F97B56E9-533D-44C5-B137-E6CBEAE8274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541020</xdr:colOff>
      <xdr:row>1</xdr:row>
      <xdr:rowOff>22860</xdr:rowOff>
    </xdr:from>
    <xdr:to>
      <xdr:col>16</xdr:col>
      <xdr:colOff>236220</xdr:colOff>
      <xdr:row>16</xdr:row>
      <xdr:rowOff>22860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B356398D-C5A5-46D2-BD36-DBBFE90F8B7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342900</xdr:colOff>
      <xdr:row>1</xdr:row>
      <xdr:rowOff>7620</xdr:rowOff>
    </xdr:from>
    <xdr:to>
      <xdr:col>15</xdr:col>
      <xdr:colOff>38100</xdr:colOff>
      <xdr:row>16</xdr:row>
      <xdr:rowOff>7620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43416D0F-EE57-441D-BFAB-99C7724970B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396240</xdr:colOff>
      <xdr:row>1</xdr:row>
      <xdr:rowOff>53340</xdr:rowOff>
    </xdr:from>
    <xdr:to>
      <xdr:col>15</xdr:col>
      <xdr:colOff>91440</xdr:colOff>
      <xdr:row>16</xdr:row>
      <xdr:rowOff>53340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C1B3DFF1-ECCB-4734-A4E6-A26B09337D9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160020</xdr:colOff>
      <xdr:row>0</xdr:row>
      <xdr:rowOff>137160</xdr:rowOff>
    </xdr:from>
    <xdr:to>
      <xdr:col>15</xdr:col>
      <xdr:colOff>464820</xdr:colOff>
      <xdr:row>15</xdr:row>
      <xdr:rowOff>137160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D418006-961C-4299-9D02-5017D1D1A82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AD22B003-84D1-4F28-89B5-CAF50E62442C}" name="Table13" displayName="Table13" ref="A4:E11" totalsRowShown="0">
  <autoFilter ref="A4:E11" xr:uid="{3DAB2948-C810-4E74-B375-3301966C2AEF}"/>
  <tableColumns count="5">
    <tableColumn id="1" xr3:uid="{BF523816-99DB-4C25-A7A4-FCE0426C420F}" name="conc"/>
    <tableColumn id="2" xr3:uid="{1C18B9A2-D824-44D0-8E09-CD2447B5A34A}" name="Abs 1"/>
    <tableColumn id="3" xr3:uid="{98A70B4C-89F9-4945-8D17-D82DC0720699}" name="Abs 2"/>
    <tableColumn id="4" xr3:uid="{FA2C67F7-BE5C-4A7C-9C66-9CCDDE8DD6EA}" name="Average">
      <calculatedColumnFormula>AVERAGE(B5:C5)</calculatedColumnFormula>
    </tableColumn>
    <tableColumn id="5" xr3:uid="{1FB44F89-4DB9-4E67-8D31-3BD25802485D}" name="Q">
      <calculatedColumnFormula>1-(Table13[[#This Row],[Average]]/B2)*100</calculatedColumnFormula>
    </tableColumn>
  </tableColumns>
  <tableStyleInfo name="TableStyleMedium2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F5F6C979-EE32-431E-AE4F-1A933FC360B3}" name="Table14567891011" displayName="Table14567891011" ref="A4:G8" totalsRowShown="0">
  <autoFilter ref="A4:G8" xr:uid="{3DAB2948-C810-4E74-B375-3301966C2AEF}"/>
  <tableColumns count="7">
    <tableColumn id="1" xr3:uid="{00CF81CE-E47C-4884-80D8-2BADF00A5EF7}" name="conc"/>
    <tableColumn id="2" xr3:uid="{EF724640-BDE7-4865-8E38-6A12B673F695}" name="Abs 1"/>
    <tableColumn id="3" xr3:uid="{9A776182-67AE-4E49-845F-15AC669EB888}" name="Abs 2"/>
    <tableColumn id="4" xr3:uid="{FE846519-81D4-4E86-9A34-2192861EB67E}" name="Average">
      <calculatedColumnFormula>AVERAGE(B5:C5)</calculatedColumnFormula>
    </tableColumn>
    <tableColumn id="5" xr3:uid="{3360EABA-159B-4906-A433-C41652EFAE7D}" name="Q">
      <calculatedColumnFormula>1-(Table14567891011[[#This Row],[Average]]/B2)*100</calculatedColumnFormula>
    </tableColumn>
    <tableColumn id="6" xr3:uid="{AAA43093-DDCE-4167-BA6A-CD0821BD2D31}" name="Q1"/>
    <tableColumn id="7" xr3:uid="{2C99B6A7-DFB2-4AA1-A07E-E32CD5FA9B90}" name="Q2"/>
  </tableColumns>
  <tableStyleInfo name="TableStyleMedium2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72515616-339F-4220-A412-F933AA0EC5F2}" name="Table1456789101112" displayName="Table1456789101112" ref="A4:G8" totalsRowShown="0">
  <autoFilter ref="A4:G8" xr:uid="{3DAB2948-C810-4E74-B375-3301966C2AEF}"/>
  <tableColumns count="7">
    <tableColumn id="1" xr3:uid="{15A91049-498E-49D3-81C5-37D6AAF2EB09}" name="conc"/>
    <tableColumn id="2" xr3:uid="{351607B5-11AC-4088-9F97-E87FFEB93469}" name="Abs 1"/>
    <tableColumn id="3" xr3:uid="{66B526FB-D63C-42BA-B944-C50ECA33E65A}" name="Abs 2"/>
    <tableColumn id="4" xr3:uid="{615A2C30-29D3-4A52-B0AB-0178379E5D39}" name="Average">
      <calculatedColumnFormula>AVERAGE(B5:C5)</calculatedColumnFormula>
    </tableColumn>
    <tableColumn id="5" xr3:uid="{5A86AB41-5C88-4FD3-B7BA-83108B9CDE22}" name="Q">
      <calculatedColumnFormula>1-(Table1456789101112[[#This Row],[Average]]/B2)*100</calculatedColumnFormula>
    </tableColumn>
    <tableColumn id="6" xr3:uid="{38C1E967-82ED-4820-AAF8-F30D799C53CD}" name="Q1"/>
    <tableColumn id="7" xr3:uid="{A9B7423B-1F19-402F-A169-98B45482D009}" name="Q2"/>
  </tableColumns>
  <tableStyleInfo name="TableStyleMedium2"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454DDA6F-FBBC-4411-AD11-458A287C4CA7}" name="Table145678910111213" displayName="Table145678910111213" ref="A4:G8" totalsRowShown="0">
  <autoFilter ref="A4:G8" xr:uid="{3DAB2948-C810-4E74-B375-3301966C2AEF}"/>
  <tableColumns count="7">
    <tableColumn id="1" xr3:uid="{35F5D3F0-878F-4469-9DCE-A3138DFD9545}" name="conc"/>
    <tableColumn id="2" xr3:uid="{652A13BF-AA24-4701-A0EB-66AEE48F0EF7}" name="Abs 1"/>
    <tableColumn id="3" xr3:uid="{838E52E8-3362-4885-B89A-BD312B27824D}" name="Abs 2"/>
    <tableColumn id="4" xr3:uid="{3F903269-5430-4444-8E3C-9AB154B1D866}" name="Average">
      <calculatedColumnFormula>AVERAGE(B5:C5)</calculatedColumnFormula>
    </tableColumn>
    <tableColumn id="5" xr3:uid="{B98D7C78-3AF5-41CD-84AE-ADBF44F6205B}" name="Q">
      <calculatedColumnFormula>1-(Table145678910111213[[#This Row],[Average]]/B2)*100</calculatedColumnFormula>
    </tableColumn>
    <tableColumn id="6" xr3:uid="{FF63F984-67C3-40A4-9FA8-93EBA7B0A215}" name="Q1"/>
    <tableColumn id="7" xr3:uid="{5D0B20B0-4A86-4994-9088-9A2A401D166F}" name="Q2"/>
  </tableColumns>
  <tableStyleInfo name="TableStyleMedium2" showFirstColumn="0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05AAB210-7618-42DE-934B-0D6D24A1B234}" name="Table14567891011121314" displayName="Table14567891011121314" ref="A4:G8" totalsRowShown="0">
  <autoFilter ref="A4:G8" xr:uid="{3DAB2948-C810-4E74-B375-3301966C2AEF}"/>
  <tableColumns count="7">
    <tableColumn id="1" xr3:uid="{ACE80DCE-8C22-4F15-9F2A-C7ED279DB708}" name="conc"/>
    <tableColumn id="2" xr3:uid="{8C2ADE3F-1E84-4F83-A306-8287BD2EBAEA}" name="Abs 1"/>
    <tableColumn id="3" xr3:uid="{3358FEBF-1A7A-484E-9265-74AF9BB8A607}" name="Abs 2"/>
    <tableColumn id="4" xr3:uid="{C8BFC1CB-E800-46A4-9CF6-669AABB79685}" name="Average">
      <calculatedColumnFormula>AVERAGE(B5:C5)</calculatedColumnFormula>
    </tableColumn>
    <tableColumn id="5" xr3:uid="{9496DDA2-0487-40CD-98DD-C2F51374C936}" name="Q">
      <calculatedColumnFormula>1-(Table14567891011121314[[#This Row],[Average]]/B2)*100</calculatedColumnFormula>
    </tableColumn>
    <tableColumn id="6" xr3:uid="{50676C79-9A54-4692-B8CC-79100E4B6536}" name="Q1"/>
    <tableColumn id="7" xr3:uid="{B56669B4-E96F-4D5B-B460-EA0B5B1CE873}" name="Q2"/>
  </tableColumns>
  <tableStyleInfo name="TableStyleMedium2" showFirstColumn="0" showLastColumn="0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985ECA54-C12D-48E0-BEB4-08B2F7CE1D0B}" name="Table1456789101112131415" displayName="Table1456789101112131415" ref="A4:G8" totalsRowShown="0">
  <autoFilter ref="A4:G8" xr:uid="{3DAB2948-C810-4E74-B375-3301966C2AEF}"/>
  <tableColumns count="7">
    <tableColumn id="1" xr3:uid="{9F479AEC-C64C-44B9-BE01-882702F04D78}" name="conc"/>
    <tableColumn id="2" xr3:uid="{B64D75CE-01FB-4275-ABCD-C8DD9DDD5C56}" name="Abs 1"/>
    <tableColumn id="3" xr3:uid="{0251AF62-9D81-4357-949F-6B94CE405A70}" name="Abs 2"/>
    <tableColumn id="4" xr3:uid="{B4336A1A-F383-4453-80A0-19E71F766EBD}" name="Average">
      <calculatedColumnFormula>AVERAGE(B5:C5)</calculatedColumnFormula>
    </tableColumn>
    <tableColumn id="5" xr3:uid="{C8E71CC7-4E7F-486D-9589-2B8476CC8553}" name="Q">
      <calculatedColumnFormula>1-(Table1456789101112131415[[#This Row],[Average]]/B2)*100</calculatedColumnFormula>
    </tableColumn>
    <tableColumn id="6" xr3:uid="{28CA8D99-FC46-402F-AC6A-DBC6529926AB}" name="Q1"/>
    <tableColumn id="7" xr3:uid="{D0A21921-7D44-435E-8982-508F2F58F79F}" name="Q2"/>
  </tableColumns>
  <tableStyleInfo name="TableStyleMedium2" showFirstColumn="0" showLastColumn="0" showRowStripes="1" showColumnStripes="0"/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274F0444-E738-475D-A315-59D5D84AEC5C}" name="Table145678910111213141516" displayName="Table145678910111213141516" ref="A4:G8" totalsRowShown="0">
  <autoFilter ref="A4:G8" xr:uid="{3DAB2948-C810-4E74-B375-3301966C2AEF}"/>
  <tableColumns count="7">
    <tableColumn id="1" xr3:uid="{C8D584BE-1716-44E2-AFD2-026B9EE8A424}" name="conc"/>
    <tableColumn id="2" xr3:uid="{51420BF3-3F21-4969-8B64-99808C5793B1}" name="Abs 1"/>
    <tableColumn id="3" xr3:uid="{1338D73A-1525-4B67-A79A-5495E8733A88}" name="Abs 2"/>
    <tableColumn id="4" xr3:uid="{AAD292D5-4287-4705-B05A-0FA75545864F}" name="Average">
      <calculatedColumnFormula>AVERAGE(B5:C5)</calculatedColumnFormula>
    </tableColumn>
    <tableColumn id="5" xr3:uid="{F2A1EA7B-106E-4A0C-844E-BE3E86B1A8EF}" name="Q">
      <calculatedColumnFormula>1-(Table145678910111213141516[[#This Row],[Average]]/B2)*100</calculatedColumnFormula>
    </tableColumn>
    <tableColumn id="6" xr3:uid="{D5CC9DBF-BD83-45B7-81F1-9B4147F2AB8C}" name="Q1"/>
    <tableColumn id="7" xr3:uid="{BACC84E3-987E-490D-A53F-53BE9B60248C}" name="Q2"/>
  </tableColumns>
  <tableStyleInfo name="TableStyleMedium2" showFirstColumn="0" showLastColumn="0" showRowStripes="1" showColumnStripes="0"/>
</table>
</file>

<file path=xl/tables/table1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E8584E26-3735-415D-BEFA-FE1F96EE89BB}" name="Table14567891011121314151617" displayName="Table14567891011121314151617" ref="A4:G8" totalsRowShown="0">
  <autoFilter ref="A4:G8" xr:uid="{3DAB2948-C810-4E74-B375-3301966C2AEF}"/>
  <tableColumns count="7">
    <tableColumn id="1" xr3:uid="{B5F3FA88-54B7-42E2-A07D-9C476D5B31DB}" name="conc"/>
    <tableColumn id="2" xr3:uid="{6C391818-239C-47BB-ADFA-FE68A8FB8DD9}" name="Abs 1"/>
    <tableColumn id="3" xr3:uid="{51C69A4D-5872-415F-B22D-183EEF96260D}" name="Abs 2"/>
    <tableColumn id="4" xr3:uid="{5F5C9A0D-639B-4880-A430-6108E2963B68}" name="Average">
      <calculatedColumnFormula>AVERAGE(B5:C5)</calculatedColumnFormula>
    </tableColumn>
    <tableColumn id="5" xr3:uid="{99DB033C-4118-4C1D-A91D-5C95E63D8AA5}" name="Q">
      <calculatedColumnFormula>1-(Table14567891011121314151617[[#This Row],[Average]]/B2)*100</calculatedColumnFormula>
    </tableColumn>
    <tableColumn id="6" xr3:uid="{EFCAD015-053C-4715-BE48-B9DB46B4E054}" name="Q1"/>
    <tableColumn id="7" xr3:uid="{81A5B81D-D540-4658-89DF-A811D5F8C6B7}" name="Q2"/>
  </tableColumns>
  <tableStyleInfo name="TableStyleMedium2" showFirstColumn="0" showLastColumn="0" showRowStripes="1" showColumnStripes="0"/>
</table>
</file>

<file path=xl/tables/table1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89692D2C-5678-495F-AD33-99C4078E7E71}" name="Table1456789101112131415161718" displayName="Table1456789101112131415161718" ref="A4:G8" totalsRowShown="0">
  <autoFilter ref="A4:G8" xr:uid="{3DAB2948-C810-4E74-B375-3301966C2AEF}"/>
  <tableColumns count="7">
    <tableColumn id="1" xr3:uid="{A151961E-39ED-4CDC-9865-48C0FAF5F1A7}" name="conc"/>
    <tableColumn id="2" xr3:uid="{FCADE328-E928-419A-B312-102E2BA7488E}" name="Abs 1"/>
    <tableColumn id="3" xr3:uid="{E9B7DA1B-1D8C-436B-8B5A-68A77F9A164E}" name="Abs 2"/>
    <tableColumn id="4" xr3:uid="{AA8680E8-889D-43FB-B561-86724B6E38A7}" name="Average">
      <calculatedColumnFormula>AVERAGE(B5:C5)</calculatedColumnFormula>
    </tableColumn>
    <tableColumn id="5" xr3:uid="{5186A87E-4328-4486-9741-045049ABBE56}" name="Q">
      <calculatedColumnFormula>1-(Table1456789101112131415161718[[#This Row],[Average]]/B2)*100</calculatedColumnFormula>
    </tableColumn>
    <tableColumn id="6" xr3:uid="{3C9F5304-6C66-47F9-BF75-E7E2DAF7B5BE}" name="Q1"/>
    <tableColumn id="7" xr3:uid="{D38CCB99-372B-4FF7-98FF-5635D8F5C2BF}" name="Q2"/>
  </tableColumns>
  <tableStyleInfo name="TableStyleMedium2" showFirstColumn="0" showLastColumn="0" showRowStripes="1" showColumnStripes="0"/>
</table>
</file>

<file path=xl/tables/table1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4DE6B1EE-FCC6-4E08-8885-FE7512950F2B}" name="Table145678910111213141516171819" displayName="Table145678910111213141516171819" ref="A4:G8" totalsRowShown="0">
  <autoFilter ref="A4:G8" xr:uid="{3DAB2948-C810-4E74-B375-3301966C2AEF}"/>
  <tableColumns count="7">
    <tableColumn id="1" xr3:uid="{3CAB2E24-7F4C-4F58-9100-1A37F4F36D5C}" name="conc"/>
    <tableColumn id="2" xr3:uid="{9A05139E-0E35-4B4F-8981-33C3694DE09E}" name="Abs 1"/>
    <tableColumn id="3" xr3:uid="{4C108B45-9CCC-4284-8705-2815FA279ECC}" name="Abs 2"/>
    <tableColumn id="4" xr3:uid="{3B0229DE-2565-4B01-8CFA-182D9104096C}" name="Average">
      <calculatedColumnFormula>AVERAGE(B5:C5)</calculatedColumnFormula>
    </tableColumn>
    <tableColumn id="5" xr3:uid="{DCBA8F18-7144-4C1C-87D9-8A9C98404AFA}" name="Q">
      <calculatedColumnFormula>1-(Table145678910111213141516171819[[#This Row],[Average]]/B2)*100</calculatedColumnFormula>
    </tableColumn>
    <tableColumn id="6" xr3:uid="{D0020734-2A97-438C-B168-87A1627F600E}" name="Q1"/>
    <tableColumn id="7" xr3:uid="{BF7F7669-8ABE-4A32-B006-889A811BED44}" name="Q2"/>
  </tableColumns>
  <tableStyleInfo name="TableStyleMedium2" showFirstColumn="0" showLastColumn="0" showRowStripes="1" showColumnStripes="0"/>
</table>
</file>

<file path=xl/tables/table1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B40D33F9-14F9-4FF5-8A7C-063D3E71339D}" name="Table14567891011121314151617181920" displayName="Table14567891011121314151617181920" ref="A4:G8" totalsRowShown="0">
  <autoFilter ref="A4:G8" xr:uid="{3DAB2948-C810-4E74-B375-3301966C2AEF}"/>
  <tableColumns count="7">
    <tableColumn id="1" xr3:uid="{4AFB6357-07E4-4491-BAA7-AEFD88EF486D}" name="conc"/>
    <tableColumn id="2" xr3:uid="{C1F92704-736D-4B0E-B828-EA2E2DBAFFFE}" name="Abs 1"/>
    <tableColumn id="3" xr3:uid="{3C4B6C00-72BA-4F91-BAEB-842076125ADB}" name="Abs 2"/>
    <tableColumn id="4" xr3:uid="{6F494E9F-E3AA-4D63-85F7-6D09B3F4C294}" name="Average">
      <calculatedColumnFormula>AVERAGE(B5:C5)</calculatedColumnFormula>
    </tableColumn>
    <tableColumn id="5" xr3:uid="{E6E81F4E-13B8-4B60-BC2B-12ED28606988}" name="Q">
      <calculatedColumnFormula>1-(Table14567891011121314151617181920[[#This Row],[Average]]/B2)*100</calculatedColumnFormula>
    </tableColumn>
    <tableColumn id="6" xr3:uid="{7400ED8A-2D39-4C62-8A7F-DB438351CCAF}" name="Q1"/>
    <tableColumn id="7" xr3:uid="{54E1C256-833F-448B-BA25-0AB56D4173DE}" name="Q2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25A9B2A5-3721-48E7-8117-B95D6A220F8A}" name="Table1" displayName="Table1" ref="A4:G8" totalsRowShown="0">
  <autoFilter ref="A4:G8" xr:uid="{3DAB2948-C810-4E74-B375-3301966C2AEF}"/>
  <tableColumns count="7">
    <tableColumn id="1" xr3:uid="{394702F5-291E-4912-AAD9-B104E7753347}" name="conc"/>
    <tableColumn id="2" xr3:uid="{D5429ABF-3682-4267-B173-681719403A04}" name="Abs 1"/>
    <tableColumn id="3" xr3:uid="{FA60C215-1FB7-42BE-8469-D0B336D5BFA4}" name="Abs 2"/>
    <tableColumn id="4" xr3:uid="{8E60CDC8-A9EA-4AC7-B061-47D0F61227C8}" name="Average">
      <calculatedColumnFormula>AVERAGE(B5:C5)</calculatedColumnFormula>
    </tableColumn>
    <tableColumn id="5" xr3:uid="{324FA69D-CD87-42E1-BC95-9586111D9DBC}" name="Qaverage">
      <calculatedColumnFormula>1-(Table1[[#This Row],[Average]]/B2)*100</calculatedColumnFormula>
    </tableColumn>
    <tableColumn id="6" xr3:uid="{5527BA79-55A9-466E-8320-8F09683E1C88}" name="Q1" dataDxfId="4">
      <calculatedColumnFormula>(1-(Table1[[#This Row],[Abs 1]]/B2))*100</calculatedColumnFormula>
    </tableColumn>
    <tableColumn id="7" xr3:uid="{970F2981-50DE-4C1A-BBE9-7D15654B2BCD}" name="Q2"/>
  </tableColumns>
  <tableStyleInfo name="TableStyleMedium2" showFirstColumn="0" showLastColumn="0" showRowStripes="1" showColumnStripes="0"/>
</table>
</file>

<file path=xl/tables/table2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360E1E8A-A8CF-447D-B236-FE39EF955015}" name="Table1456789101112131415161718192021" displayName="Table1456789101112131415161718192021" ref="A4:G8" totalsRowShown="0">
  <autoFilter ref="A4:G8" xr:uid="{3DAB2948-C810-4E74-B375-3301966C2AEF}"/>
  <tableColumns count="7">
    <tableColumn id="1" xr3:uid="{75510DF3-F8B8-4D2E-B0D9-CB65232EE791}" name="conc"/>
    <tableColumn id="2" xr3:uid="{3A21BD01-0CA0-4EE7-B790-5129D53FCD59}" name="Abs 1"/>
    <tableColumn id="3" xr3:uid="{C2729F01-6B13-4F8F-AC34-47AD60EE849D}" name="Abs 2"/>
    <tableColumn id="4" xr3:uid="{BDB803DF-780A-429B-A9A6-80E79E24E268}" name="Average">
      <calculatedColumnFormula>AVERAGE(B5:C5)</calculatedColumnFormula>
    </tableColumn>
    <tableColumn id="5" xr3:uid="{885580B8-F243-4B72-8834-FAB8071D333A}" name="Q">
      <calculatedColumnFormula>1-(Table1456789101112131415161718192021[[#This Row],[Average]]/B2)*100</calculatedColumnFormula>
    </tableColumn>
    <tableColumn id="6" xr3:uid="{E6A57F6B-E667-429D-8F0B-D2447A250971}" name="Q1"/>
    <tableColumn id="7" xr3:uid="{FB38CC4C-E9F3-45A1-9976-9B9D046B7D92}" name="Q2"/>
  </tableColumns>
  <tableStyleInfo name="TableStyleMedium2" showFirstColumn="0" showLastColumn="0" showRowStripes="1" showColumnStripes="0"/>
</table>
</file>

<file path=xl/tables/table2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4AA46DFB-2E13-45EE-A9F4-89347986E95A}" name="Table145678910111213141516171819202122" displayName="Table145678910111213141516171819202122" ref="A4:G8" totalsRowShown="0">
  <autoFilter ref="A4:G8" xr:uid="{3DAB2948-C810-4E74-B375-3301966C2AEF}"/>
  <tableColumns count="7">
    <tableColumn id="1" xr3:uid="{DB1A9D9C-F1D0-42EE-B33F-385F74F9D616}" name="conc"/>
    <tableColumn id="2" xr3:uid="{FAA18327-F221-4828-ABEF-D594BEA31E15}" name="Abs 1"/>
    <tableColumn id="3" xr3:uid="{6734FD92-0A35-40BF-9517-E1A39212DF3F}" name="Abs 2"/>
    <tableColumn id="4" xr3:uid="{D3AEEE3E-970F-44AB-8A73-69EDF4F29D1B}" name="Average">
      <calculatedColumnFormula>AVERAGE(B5:C5)</calculatedColumnFormula>
    </tableColumn>
    <tableColumn id="5" xr3:uid="{F50623B7-EF0C-4A30-83EA-8E65ECAF0416}" name="Q">
      <calculatedColumnFormula>1-(Table145678910111213141516171819202122[[#This Row],[Average]]/B2)*100</calculatedColumnFormula>
    </tableColumn>
    <tableColumn id="6" xr3:uid="{7ACD8585-72A9-47E1-B1BD-5F8F7EA1E07A}" name="Q1"/>
    <tableColumn id="7" xr3:uid="{BAFC29E8-883E-45DF-AEA5-4F918FBEBA30}" name="Q2"/>
  </tableColumns>
  <tableStyleInfo name="TableStyleMedium2" showFirstColumn="0" showLastColumn="0" showRowStripes="1" showColumnStripes="0"/>
</table>
</file>

<file path=xl/tables/table2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2" xr:uid="{F029DC5F-AE3F-466F-A51E-C8462FAD3574}" name="Table14567891011121314151617181920212223" displayName="Table14567891011121314151617181920212223" ref="A4:G8" totalsRowShown="0">
  <autoFilter ref="A4:G8" xr:uid="{3DAB2948-C810-4E74-B375-3301966C2AEF}"/>
  <tableColumns count="7">
    <tableColumn id="1" xr3:uid="{744BB0D5-6F58-47C5-A9EF-3D2805614CFE}" name="conc"/>
    <tableColumn id="2" xr3:uid="{BAF1C4CB-09C4-4EDB-BC00-EDFC5F0F8BC7}" name="Abs 1"/>
    <tableColumn id="3" xr3:uid="{64FFB126-70F8-4644-B97A-A3691AEE63BE}" name="Abs 2"/>
    <tableColumn id="4" xr3:uid="{B8E59FFE-0F25-4B0D-8678-FEF95333A2AE}" name="Average">
      <calculatedColumnFormula>AVERAGE(B5:C5)</calculatedColumnFormula>
    </tableColumn>
    <tableColumn id="5" xr3:uid="{8DC539BA-8833-4CE8-9452-C0C4A6E3C3C4}" name="Q">
      <calculatedColumnFormula>1-(Table14567891011121314151617181920212223[[#This Row],[Average]]/B2)*100</calculatedColumnFormula>
    </tableColumn>
    <tableColumn id="6" xr3:uid="{F1B589CA-3F2B-48C2-887C-7774350EA199}" name="Q1"/>
    <tableColumn id="7" xr3:uid="{5FC695A8-27BB-424E-ACF5-A94988B0D9AE}" name="Q2"/>
  </tableColumns>
  <tableStyleInfo name="TableStyleMedium2" showFirstColumn="0" showLastColumn="0" showRowStripes="1" showColumnStripes="0"/>
</table>
</file>

<file path=xl/tables/table2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3" xr:uid="{F522883C-A133-4680-98AE-1549E327CCA5}" name="Table23" displayName="Table23" ref="A1:G22" totalsRowShown="0">
  <autoFilter ref="A1:G22" xr:uid="{19E8A37E-A090-4FE5-BAFA-692F8744A6EC}"/>
  <tableColumns count="7">
    <tableColumn id="1" xr3:uid="{19A20F9F-646C-4994-B33C-88E2890C932B}" name="Sweccd"/>
    <tableColumn id="2" xr3:uid="{5B3E43F2-3E0A-450D-9E97-318D5649BFDB}" name="mg TE/ g SCG" dataDxfId="3">
      <calculatedColumnFormula>'SWECCD 2'!B14</calculatedColumnFormula>
    </tableColumn>
    <tableColumn id="3" xr3:uid="{3F32E591-BFE2-47DD-B4A6-F58F2130E49A}" name="umolTE/g SCG" dataDxfId="2"/>
    <tableColumn id="4" xr3:uid="{4CE3BB46-E52C-45B1-B680-6D5E8D50AB19}" name="Minitab Number"/>
    <tableColumn id="5" xr3:uid="{BCB8380E-FA73-4401-8AE9-94F68A45C175}" name="mtab number 10/19"/>
    <tableColumn id="6" xr3:uid="{BFD2EDB4-8F7A-41D0-9DCF-1EC6B1C2CDA2}" name="stdev mg/te" dataDxfId="1">
      <calculatedColumnFormula>'SWECCD 1'!G18</calculatedColumnFormula>
    </tableColumn>
    <tableColumn id="7" xr3:uid="{487E509F-686B-404E-9D05-27142FF09859}" name="stdev umolTe/g" dataDxfId="0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F9D8EFCA-55DD-4BF1-B5FD-2C0AE5637552}" name="Table14" displayName="Table14" ref="A4:G8" totalsRowShown="0">
  <autoFilter ref="A4:G8" xr:uid="{3DAB2948-C810-4E74-B375-3301966C2AEF}"/>
  <tableColumns count="7">
    <tableColumn id="1" xr3:uid="{912808C5-5A13-421C-B2AE-7D84C7E53699}" name="conc"/>
    <tableColumn id="2" xr3:uid="{9576ED76-0361-42C8-BAA9-CB2823988528}" name="Abs 1"/>
    <tableColumn id="3" xr3:uid="{0BC6D95F-96C2-42FD-AC6F-10D340E8C361}" name="Abs 2"/>
    <tableColumn id="4" xr3:uid="{307C5CB0-3879-4A1D-B91B-92FC42CD2770}" name="Average">
      <calculatedColumnFormula>AVERAGE(B5:C5)</calculatedColumnFormula>
    </tableColumn>
    <tableColumn id="5" xr3:uid="{9C85E56D-DD3C-4F3A-B5CD-D88F2E49BE4D}" name="Q">
      <calculatedColumnFormula>1-(Table14[[#This Row],[Average]]/B2)*100</calculatedColumnFormula>
    </tableColumn>
    <tableColumn id="7" xr3:uid="{E0E5E365-B4B8-4C1C-A045-BC8F9645AA39}" name="Q1"/>
    <tableColumn id="8" xr3:uid="{DF8D7BD3-5AE5-4145-98BD-2687A3CFF488}" name="Q2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DEE0B87D-7682-4261-93E9-E08242827A1A}" name="Table145" displayName="Table145" ref="A4:G8" totalsRowShown="0">
  <autoFilter ref="A4:G8" xr:uid="{3DAB2948-C810-4E74-B375-3301966C2AEF}"/>
  <tableColumns count="7">
    <tableColumn id="1" xr3:uid="{90919C80-1D84-48A2-A9D4-94F278720559}" name="conc"/>
    <tableColumn id="2" xr3:uid="{60C5B643-C4E6-4C17-8A8F-FA04A4083EFE}" name="Abs 1"/>
    <tableColumn id="3" xr3:uid="{19F19315-1F46-45A5-B387-4DDB600E326B}" name="Abs 2"/>
    <tableColumn id="4" xr3:uid="{CF4F36E6-A89F-4454-B3EB-44EF0850BA2E}" name="Average">
      <calculatedColumnFormula>AVERAGE(B5:C5)</calculatedColumnFormula>
    </tableColumn>
    <tableColumn id="5" xr3:uid="{CC24E6AA-D0BD-4A1C-A6C1-B46AC8454BF3}" name="Q">
      <calculatedColumnFormula>1-(Table145[[#This Row],[Average]]/B2)*100</calculatedColumnFormula>
    </tableColumn>
    <tableColumn id="6" xr3:uid="{BB22EAA8-8BD7-4CC0-AA8B-EDEB0CDFDE8C}" name="Q1"/>
    <tableColumn id="7" xr3:uid="{9E5E422C-1F96-4612-AB24-F763A61B82EC}" name="Q2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4A1795E7-FEE5-4C88-BBBA-1410AD600D48}" name="Table1456" displayName="Table1456" ref="A4:G8" totalsRowShown="0">
  <autoFilter ref="A4:G8" xr:uid="{3DAB2948-C810-4E74-B375-3301966C2AEF}"/>
  <tableColumns count="7">
    <tableColumn id="1" xr3:uid="{21850A36-6245-4508-BAC9-0E50A88BCB9C}" name="conc"/>
    <tableColumn id="2" xr3:uid="{D8A9B0B1-3073-415C-BBAF-2EF927772ABA}" name="Abs 1"/>
    <tableColumn id="3" xr3:uid="{5141FB74-9F75-474B-B2A4-A7C9F3E6D7CB}" name="Abs 2"/>
    <tableColumn id="4" xr3:uid="{6BFE02CE-31C8-491C-8C96-CD8489A10538}" name="Average">
      <calculatedColumnFormula>AVERAGE(B5:C5)</calculatedColumnFormula>
    </tableColumn>
    <tableColumn id="5" xr3:uid="{E724B349-DD8D-4288-9795-30D42B49AD8C}" name="Q">
      <calculatedColumnFormula>1-(Table1456[[#This Row],[Average]]/B2)*100</calculatedColumnFormula>
    </tableColumn>
    <tableColumn id="8" xr3:uid="{65910606-65B0-45AB-A1C0-FF866AC8807F}" name="Q1"/>
    <tableColumn id="9" xr3:uid="{71448D47-1A17-4436-96CC-B3B2A5EF6B3F}" name="Q2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FE35645E-13F3-4A5B-A322-224895C98705}" name="Table14567" displayName="Table14567" ref="A4:G8" totalsRowShown="0">
  <autoFilter ref="A4:G8" xr:uid="{3DAB2948-C810-4E74-B375-3301966C2AEF}"/>
  <tableColumns count="7">
    <tableColumn id="1" xr3:uid="{F06981D2-71D9-4E82-8B87-E77A9B3D8587}" name="conc"/>
    <tableColumn id="2" xr3:uid="{B21D5DF2-F585-41EC-9278-E9D89FD65A33}" name="Abs 1"/>
    <tableColumn id="3" xr3:uid="{4CFC554B-1198-4A12-8ABD-944553BAFB2B}" name="Abs 2"/>
    <tableColumn id="4" xr3:uid="{9EFE1E78-9E01-448F-9547-12A5D32D9134}" name="Average">
      <calculatedColumnFormula>AVERAGE(B5:C5)</calculatedColumnFormula>
    </tableColumn>
    <tableColumn id="5" xr3:uid="{E2862553-ED29-4681-B912-D9E8A18D48C7}" name="Q">
      <calculatedColumnFormula>1-(Table14567[[#This Row],[Average]]/B2)*100</calculatedColumnFormula>
    </tableColumn>
    <tableColumn id="6" xr3:uid="{850A150A-C222-4DCA-A730-CB6F3E995842}" name="Q1"/>
    <tableColumn id="7" xr3:uid="{8121FEF2-9CB2-4D83-ACF5-24B2CCC78495}" name="Q2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941D0F5D-DE36-4EA4-93A2-A9F8849EE4F3}" name="Table145678" displayName="Table145678" ref="A4:G8" totalsRowShown="0">
  <autoFilter ref="A4:G8" xr:uid="{3DAB2948-C810-4E74-B375-3301966C2AEF}"/>
  <tableColumns count="7">
    <tableColumn id="1" xr3:uid="{0B8D6523-6C93-4449-BE48-6D881473D864}" name="conc"/>
    <tableColumn id="2" xr3:uid="{F0B61918-4AAA-461F-BE32-DBDDBC9B92F1}" name="Abs 1"/>
    <tableColumn id="3" xr3:uid="{C78260A3-0018-4432-B980-87249B8CF19D}" name="Abs 2"/>
    <tableColumn id="4" xr3:uid="{FAEC42F3-7C6F-4B84-81E6-1CFBDF81CE51}" name="Average">
      <calculatedColumnFormula>AVERAGE(B5:C5)</calculatedColumnFormula>
    </tableColumn>
    <tableColumn id="5" xr3:uid="{F16C8798-B0E5-4707-BCA9-8BFEDC4855B0}" name="Q">
      <calculatedColumnFormula>1-(Table145678[[#This Row],[Average]]/B2)*100</calculatedColumnFormula>
    </tableColumn>
    <tableColumn id="6" xr3:uid="{3EB78058-D747-483C-A992-0496CB696740}" name="Q1"/>
    <tableColumn id="7" xr3:uid="{4A2F9576-AE62-41D4-B8AF-AB93E34CD74B}" name="Q2"/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6F99EA94-B531-4F05-A74A-68CDF1CBB8DD}" name="Table1456789" displayName="Table1456789" ref="A4:G8" totalsRowShown="0">
  <autoFilter ref="A4:G8" xr:uid="{3DAB2948-C810-4E74-B375-3301966C2AEF}"/>
  <tableColumns count="7">
    <tableColumn id="1" xr3:uid="{046DC2F8-0F62-4A81-B75B-BCED1937F80F}" name="conc"/>
    <tableColumn id="2" xr3:uid="{81A6C060-8930-4E7F-A204-CE5A8691161B}" name="Abs 1"/>
    <tableColumn id="3" xr3:uid="{E4E853D8-606A-43F1-9B30-CA52846700CB}" name="Abs 2"/>
    <tableColumn id="4" xr3:uid="{ED2130FB-CBDC-4657-A6C9-FC568CEBAB63}" name="Average">
      <calculatedColumnFormula>AVERAGE(B5:C5)</calculatedColumnFormula>
    </tableColumn>
    <tableColumn id="5" xr3:uid="{196BC5B5-5AD9-40EC-A7A5-4A3BDA9B3CB5}" name="Q">
      <calculatedColumnFormula>1-(Table1456789[[#This Row],[Average]]/B2)*100</calculatedColumnFormula>
    </tableColumn>
    <tableColumn id="6" xr3:uid="{C50F7189-CD74-43F3-BBA3-8517536B2C40}" name="Q1"/>
    <tableColumn id="7" xr3:uid="{EC998FA2-37A0-4F30-BF0A-27DB5DFD1162}" name="Q2"/>
  </tableColumns>
  <tableStyleInfo name="TableStyleMedium2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BAD89133-D22A-447C-A70A-AF93F85C28C4}" name="Table145678910" displayName="Table145678910" ref="A4:G8" totalsRowShown="0">
  <autoFilter ref="A4:G8" xr:uid="{3DAB2948-C810-4E74-B375-3301966C2AEF}"/>
  <tableColumns count="7">
    <tableColumn id="1" xr3:uid="{1D90A126-F09A-44A1-B2B7-EA44931F041B}" name="conc"/>
    <tableColumn id="2" xr3:uid="{418480D8-D9B4-44D1-B090-F5D7B5135EA5}" name="Abs 1"/>
    <tableColumn id="3" xr3:uid="{B02BBF9D-9170-451D-AE0D-20DF4910B193}" name="Abs 2"/>
    <tableColumn id="4" xr3:uid="{9077896B-85C1-4F3E-8925-FE5A793217E4}" name="Average">
      <calculatedColumnFormula>AVERAGE(B5:C5)</calculatedColumnFormula>
    </tableColumn>
    <tableColumn id="5" xr3:uid="{E675C5CB-509A-42C4-B541-D6C38BBF4220}" name="Q">
      <calculatedColumnFormula>1-(Table145678910[[#This Row],[Average]]/B2)*100</calculatedColumnFormula>
    </tableColumn>
    <tableColumn id="6" xr3:uid="{FC78B5CF-1AC2-4577-893C-B867A1A05BCB}" name="Q1"/>
    <tableColumn id="7" xr3:uid="{166F41AD-AE13-4DAB-8544-AFC6B96CC3F0}" name="Q2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0.xml"/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1.xml"/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2.xml"/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3.xml"/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4.xml"/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5.xml"/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6.xml"/><Relationship Id="rId1" Type="http://schemas.openxmlformats.org/officeDocument/2006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7.xml"/><Relationship Id="rId1" Type="http://schemas.openxmlformats.org/officeDocument/2006/relationships/drawing" Target="../drawings/drawing17.xml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8.xml"/><Relationship Id="rId1" Type="http://schemas.openxmlformats.org/officeDocument/2006/relationships/drawing" Target="../drawings/drawing18.xml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9.xml"/><Relationship Id="rId1" Type="http://schemas.openxmlformats.org/officeDocument/2006/relationships/drawing" Target="../drawings/drawing19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drawing" Target="../drawings/drawing2.xml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0.xml"/><Relationship Id="rId1" Type="http://schemas.openxmlformats.org/officeDocument/2006/relationships/drawing" Target="../drawings/drawing20.xml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1.xml"/><Relationship Id="rId1" Type="http://schemas.openxmlformats.org/officeDocument/2006/relationships/drawing" Target="../drawings/drawing21.xml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2.xml"/><Relationship Id="rId1" Type="http://schemas.openxmlformats.org/officeDocument/2006/relationships/drawing" Target="../drawings/drawing22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3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8.xml"/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9.xml"/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902F2B-C510-4EC2-A0AE-A1E3DFF6C3B4}">
  <dimension ref="A1:E21"/>
  <sheetViews>
    <sheetView workbookViewId="0">
      <selection activeCell="C24" sqref="C24"/>
    </sheetView>
  </sheetViews>
  <sheetFormatPr defaultRowHeight="14.4" x14ac:dyDescent="0.3"/>
  <cols>
    <col min="1" max="1" width="12.109375" customWidth="1"/>
    <col min="3" max="3" width="10.44140625" customWidth="1"/>
    <col min="4" max="4" width="9.6640625" customWidth="1"/>
  </cols>
  <sheetData>
    <row r="1" spans="1:5" x14ac:dyDescent="0.3">
      <c r="A1" t="s">
        <v>0</v>
      </c>
      <c r="B1">
        <v>9.7000000000000003E-2</v>
      </c>
    </row>
    <row r="2" spans="1:5" x14ac:dyDescent="0.3">
      <c r="A2" t="s">
        <v>1</v>
      </c>
      <c r="B2">
        <f>1.19-B1</f>
        <v>1.093</v>
      </c>
    </row>
    <row r="4" spans="1:5" x14ac:dyDescent="0.3">
      <c r="A4" t="s">
        <v>6</v>
      </c>
      <c r="B4" t="s">
        <v>3</v>
      </c>
      <c r="C4" t="s">
        <v>4</v>
      </c>
      <c r="D4" t="s">
        <v>2</v>
      </c>
      <c r="E4" t="s">
        <v>5</v>
      </c>
    </row>
    <row r="5" spans="1:5" x14ac:dyDescent="0.3">
      <c r="A5">
        <v>10</v>
      </c>
      <c r="B5">
        <v>0.98099999999999998</v>
      </c>
      <c r="C5">
        <v>1.01</v>
      </c>
      <c r="D5">
        <f>AVERAGE(B5:C5)-B1</f>
        <v>0.89850000000000008</v>
      </c>
      <c r="E5">
        <f>(1-(Table13[[#This Row],[Average]]/B2))*100</f>
        <v>17.795059469350406</v>
      </c>
    </row>
    <row r="6" spans="1:5" x14ac:dyDescent="0.3">
      <c r="A6">
        <v>25</v>
      </c>
      <c r="B6">
        <v>0.96499999999999997</v>
      </c>
      <c r="C6">
        <v>0.96</v>
      </c>
      <c r="D6">
        <f>AVERAGE(B6:C6)-B1</f>
        <v>0.86549999999999994</v>
      </c>
      <c r="E6">
        <f>(1-(Table13[[#This Row],[Average]]/B2))*100</f>
        <v>20.814272644098818</v>
      </c>
    </row>
    <row r="7" spans="1:5" x14ac:dyDescent="0.3">
      <c r="A7">
        <v>50</v>
      </c>
      <c r="B7">
        <v>0.88100000000000001</v>
      </c>
      <c r="C7">
        <v>0.92100000000000004</v>
      </c>
      <c r="D7">
        <f>AVERAGE(B7:C7)-B1</f>
        <v>0.80400000000000005</v>
      </c>
      <c r="E7">
        <f>(1-(Table13[[#This Row],[Average]]/B2))*100</f>
        <v>26.440988106129915</v>
      </c>
    </row>
    <row r="8" spans="1:5" x14ac:dyDescent="0.3">
      <c r="A8">
        <v>100</v>
      </c>
      <c r="B8">
        <v>0.77</v>
      </c>
      <c r="C8">
        <v>0.745</v>
      </c>
      <c r="D8">
        <f>AVERAGE(B8:C8)-B1</f>
        <v>0.66050000000000009</v>
      </c>
      <c r="E8">
        <f>(1-(Table13[[#This Row],[Average]]/B2))*100</f>
        <v>39.569990850869161</v>
      </c>
    </row>
    <row r="9" spans="1:5" x14ac:dyDescent="0.3">
      <c r="A9">
        <v>200</v>
      </c>
      <c r="B9">
        <v>0.59799999999999998</v>
      </c>
      <c r="C9">
        <v>0.59499999999999997</v>
      </c>
      <c r="D9">
        <f>AVERAGE(B9:C9)-B1</f>
        <v>0.49950000000000006</v>
      </c>
      <c r="E9">
        <f>(1-(Table13[[#This Row],[Average]]/B2))*100</f>
        <v>54.300091491308322</v>
      </c>
    </row>
    <row r="10" spans="1:5" x14ac:dyDescent="0.3">
      <c r="A10">
        <v>400</v>
      </c>
      <c r="B10">
        <v>0.156</v>
      </c>
      <c r="C10">
        <v>0.16</v>
      </c>
      <c r="D10">
        <f>AVERAGE(B10:C10)-B1</f>
        <v>6.0999999999999999E-2</v>
      </c>
      <c r="E10">
        <f>(1-(Table13[[#This Row],[Average]]/B2))*100</f>
        <v>94.419030192131743</v>
      </c>
    </row>
    <row r="11" spans="1:5" x14ac:dyDescent="0.3">
      <c r="A11">
        <v>600</v>
      </c>
      <c r="B11">
        <v>0.156</v>
      </c>
      <c r="C11">
        <v>0.152</v>
      </c>
      <c r="D11">
        <f>AVERAGE(B11:C11)-B1</f>
        <v>5.6999999999999995E-2</v>
      </c>
      <c r="E11">
        <f>(1-(Table13[[#This Row],[Average]]/B2))*100</f>
        <v>94.784995425434587</v>
      </c>
    </row>
    <row r="16" spans="1:5" x14ac:dyDescent="0.3">
      <c r="A16" t="s">
        <v>8</v>
      </c>
    </row>
    <row r="17" spans="2:5" x14ac:dyDescent="0.3">
      <c r="B17" t="s">
        <v>10</v>
      </c>
      <c r="C17">
        <f t="array" ref="C17:D21">LINEST(E5:E10,A5:A10,TRUE,TRUE)</f>
        <v>0.19416921839173626</v>
      </c>
      <c r="D17">
        <v>16.819432719395895</v>
      </c>
      <c r="E17" t="s">
        <v>13</v>
      </c>
    </row>
    <row r="18" spans="2:5" x14ac:dyDescent="0.3">
      <c r="B18" t="s">
        <v>12</v>
      </c>
      <c r="C18">
        <v>5.7523369617288921E-3</v>
      </c>
      <c r="D18">
        <v>1.0843956198153502</v>
      </c>
      <c r="E18" t="s">
        <v>14</v>
      </c>
    </row>
    <row r="19" spans="2:5" x14ac:dyDescent="0.3">
      <c r="B19" t="s">
        <v>11</v>
      </c>
      <c r="C19">
        <v>0.9965016289044335</v>
      </c>
      <c r="D19">
        <v>1.912345656437348</v>
      </c>
      <c r="E19" t="s">
        <v>17</v>
      </c>
    </row>
    <row r="20" spans="2:5" x14ac:dyDescent="0.3">
      <c r="B20" t="s">
        <v>16</v>
      </c>
      <c r="C20">
        <v>1139.3892776753632</v>
      </c>
      <c r="D20">
        <v>4</v>
      </c>
      <c r="E20" t="s">
        <v>15</v>
      </c>
    </row>
    <row r="21" spans="2:5" x14ac:dyDescent="0.3">
      <c r="B21" t="s">
        <v>18</v>
      </c>
      <c r="C21">
        <v>4166.8216852583437</v>
      </c>
      <c r="D21">
        <v>14.628263638779167</v>
      </c>
      <c r="E21" t="s">
        <v>19</v>
      </c>
    </row>
  </sheetData>
  <pageMargins left="0.7" right="0.7" top="0.75" bottom="0.75" header="0.3" footer="0.3"/>
  <drawing r:id="rId1"/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1B690F-9BA0-45A3-BBAE-198D6EE9903B}">
  <dimension ref="A1:G21"/>
  <sheetViews>
    <sheetView workbookViewId="0">
      <selection activeCell="G14" sqref="G14"/>
    </sheetView>
  </sheetViews>
  <sheetFormatPr defaultRowHeight="14.4" x14ac:dyDescent="0.3"/>
  <cols>
    <col min="1" max="1" width="14.6640625" customWidth="1"/>
    <col min="2" max="2" width="11" bestFit="1" customWidth="1"/>
    <col min="3" max="3" width="10.44140625" customWidth="1"/>
    <col min="4" max="4" width="9.6640625" customWidth="1"/>
  </cols>
  <sheetData>
    <row r="1" spans="1:7" x14ac:dyDescent="0.3">
      <c r="A1" t="s">
        <v>0</v>
      </c>
      <c r="B1">
        <v>9.7000000000000003E-2</v>
      </c>
    </row>
    <row r="2" spans="1:7" x14ac:dyDescent="0.3">
      <c r="A2" t="s">
        <v>1</v>
      </c>
      <c r="B2">
        <f>1.19-B1</f>
        <v>1.093</v>
      </c>
    </row>
    <row r="4" spans="1:7" x14ac:dyDescent="0.3">
      <c r="A4" t="s">
        <v>6</v>
      </c>
      <c r="B4" t="s">
        <v>3</v>
      </c>
      <c r="C4" t="s">
        <v>4</v>
      </c>
      <c r="D4" t="s">
        <v>2</v>
      </c>
      <c r="E4" t="s">
        <v>5</v>
      </c>
      <c r="F4" t="s">
        <v>28</v>
      </c>
      <c r="G4" t="s">
        <v>30</v>
      </c>
    </row>
    <row r="5" spans="1:7" x14ac:dyDescent="0.3">
      <c r="A5">
        <f>1/100</f>
        <v>0.01</v>
      </c>
      <c r="B5">
        <v>0.98399999999999999</v>
      </c>
      <c r="C5">
        <v>0.93300000000000005</v>
      </c>
      <c r="D5">
        <f>AVERAGE(B5:C5)-B1</f>
        <v>0.86150000000000004</v>
      </c>
      <c r="E5">
        <f>(1-(Table14567891011[[#This Row],[Average]]/B2))*100</f>
        <v>21.180237877401641</v>
      </c>
      <c r="F5">
        <f>(1-((Table14567891011[[#This Row],[Abs 1]]-B1)/B2))*100</f>
        <v>18.847209515096065</v>
      </c>
      <c r="G5">
        <f>(1-((Table14567891011[[#This Row],[Abs 2]]-B1)/B2))*100</f>
        <v>23.513266239707221</v>
      </c>
    </row>
    <row r="6" spans="1:7" x14ac:dyDescent="0.3">
      <c r="A6">
        <f>1/50</f>
        <v>0.02</v>
      </c>
      <c r="B6">
        <v>0.60099999999999998</v>
      </c>
      <c r="C6">
        <v>0.68799999999999994</v>
      </c>
      <c r="D6">
        <f>AVERAGE(B6:C6)-B1</f>
        <v>0.54749999999999999</v>
      </c>
      <c r="E6">
        <f>(1-(Table14567891011[[#This Row],[Average]]/B2))*100</f>
        <v>49.908508691674292</v>
      </c>
      <c r="F6">
        <f>(1-((Table14567891011[[#This Row],[Abs 1]]-B1)/B2))*100</f>
        <v>53.888380603842634</v>
      </c>
      <c r="G6">
        <f>(1-((Table14567891011[[#This Row],[Abs 2]]-B1)/B2))*100</f>
        <v>45.92863677950595</v>
      </c>
    </row>
    <row r="7" spans="1:7" x14ac:dyDescent="0.3">
      <c r="A7">
        <f>1/20</f>
        <v>0.05</v>
      </c>
      <c r="B7">
        <v>0.44800000000000001</v>
      </c>
      <c r="C7">
        <v>0.48199999999999998</v>
      </c>
      <c r="D7">
        <f>AVERAGE(B7:C7)-B1</f>
        <v>0.36799999999999999</v>
      </c>
      <c r="E7">
        <f>(1-(Table14567891011[[#This Row],[Average]]/B2))*100</f>
        <v>66.33119853613907</v>
      </c>
      <c r="F7">
        <f>(1-((Table14567891011[[#This Row],[Abs 1]]-B1)/B2))*100</f>
        <v>67.886550777676121</v>
      </c>
      <c r="G7">
        <f>(1-((Table14567891011[[#This Row],[Abs 2]]-B1)/B2))*100</f>
        <v>64.775846294602019</v>
      </c>
    </row>
    <row r="8" spans="1:7" x14ac:dyDescent="0.3">
      <c r="A8">
        <f>1/10</f>
        <v>0.1</v>
      </c>
      <c r="B8">
        <v>0.222</v>
      </c>
      <c r="C8">
        <v>0.23200000000000001</v>
      </c>
      <c r="D8">
        <f>AVERAGE(B8:C8)-B1</f>
        <v>0.13</v>
      </c>
      <c r="E8">
        <f>(1-(Table14567891011[[#This Row],[Average]]/B2))*100</f>
        <v>88.106129917657825</v>
      </c>
      <c r="F8">
        <f>(1-((Table14567891011[[#This Row],[Abs 1]]-B1)/B2))*100</f>
        <v>88.56358645928637</v>
      </c>
      <c r="G8">
        <f>(1-((Table14567891011[[#This Row],[Abs 2]]-B1)/B2))*100</f>
        <v>87.648673376029279</v>
      </c>
    </row>
    <row r="12" spans="1:7" x14ac:dyDescent="0.3">
      <c r="A12" t="s">
        <v>7</v>
      </c>
      <c r="B12">
        <f>MEDIAN(Table14567891011[Q])</f>
        <v>58.119853613906685</v>
      </c>
      <c r="F12">
        <f>MEDIAN(Table14567891011[Q1])</f>
        <v>60.887465690759377</v>
      </c>
      <c r="G12">
        <f>MEDIAN(Table14567891011[Q2])</f>
        <v>55.352241537053985</v>
      </c>
    </row>
    <row r="13" spans="1:7" x14ac:dyDescent="0.3">
      <c r="A13" t="s">
        <v>9</v>
      </c>
      <c r="B13">
        <f>((B12/Trolox!C17)-Trolox!D17)*10</f>
        <v>2825.063517448024</v>
      </c>
      <c r="F13">
        <f>((F12/Trolox!C17)-Trolox!D17)*10</f>
        <v>2967.5996052881173</v>
      </c>
      <c r="G13">
        <f>((G12/Trolox!C17)-Trolox!D17)*10</f>
        <v>2682.5274296079297</v>
      </c>
    </row>
    <row r="14" spans="1:7" x14ac:dyDescent="0.3">
      <c r="A14" t="s">
        <v>20</v>
      </c>
      <c r="B14">
        <f>(B13*0.00001*250.29)</f>
        <v>7.0708514778206597</v>
      </c>
      <c r="F14">
        <f>(F13*0.00001*250.29)</f>
        <v>7.4276050520756289</v>
      </c>
      <c r="G14">
        <f>(G13*0.00001*250.29)</f>
        <v>6.7140979035656878</v>
      </c>
    </row>
    <row r="15" spans="1:7" x14ac:dyDescent="0.3">
      <c r="A15" t="s">
        <v>21</v>
      </c>
      <c r="B15">
        <v>70.837457956791241</v>
      </c>
      <c r="F15">
        <v>187.83420764906523</v>
      </c>
      <c r="G15">
        <v>169.79056518925825</v>
      </c>
    </row>
    <row r="16" spans="1:7" x14ac:dyDescent="0.3">
      <c r="A16" t="s">
        <v>22</v>
      </c>
      <c r="B16">
        <v>28.3021526856012</v>
      </c>
      <c r="F16">
        <v>29.73011283458316</v>
      </c>
      <c r="G16">
        <v>26.874192536619226</v>
      </c>
    </row>
    <row r="18" spans="6:7" x14ac:dyDescent="0.3">
      <c r="F18" t="s">
        <v>31</v>
      </c>
      <c r="G18">
        <f>STDEV(F15:G15)</f>
        <v>12.758781940635039</v>
      </c>
    </row>
    <row r="19" spans="6:7" x14ac:dyDescent="0.3">
      <c r="G19">
        <f>STDEV(F16:G16)</f>
        <v>2.019440609218603</v>
      </c>
    </row>
    <row r="21" spans="6:7" x14ac:dyDescent="0.3">
      <c r="F21" s="1">
        <f>100% -ABS(G15/F15)</f>
        <v>9.6061535785421537E-2</v>
      </c>
    </row>
  </sheetData>
  <pageMargins left="0.7" right="0.7" top="0.75" bottom="0.75" header="0.3" footer="0.3"/>
  <drawing r:id="rId1"/>
  <tableParts count="1">
    <tablePart r:id="rId2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1E8DB8-4BBD-4627-9D1C-5C1B5BFD7F8C}">
  <dimension ref="A1:G21"/>
  <sheetViews>
    <sheetView workbookViewId="0">
      <selection activeCell="G14" sqref="G14"/>
    </sheetView>
  </sheetViews>
  <sheetFormatPr defaultRowHeight="14.4" x14ac:dyDescent="0.3"/>
  <cols>
    <col min="1" max="1" width="14.6640625" customWidth="1"/>
    <col min="2" max="2" width="11" bestFit="1" customWidth="1"/>
    <col min="3" max="3" width="10.44140625" customWidth="1"/>
    <col min="4" max="4" width="9.6640625" customWidth="1"/>
  </cols>
  <sheetData>
    <row r="1" spans="1:7" x14ac:dyDescent="0.3">
      <c r="A1" t="s">
        <v>0</v>
      </c>
      <c r="B1">
        <v>9.7000000000000003E-2</v>
      </c>
    </row>
    <row r="2" spans="1:7" x14ac:dyDescent="0.3">
      <c r="A2" t="s">
        <v>1</v>
      </c>
      <c r="B2">
        <f>1.19-B1</f>
        <v>1.093</v>
      </c>
    </row>
    <row r="4" spans="1:7" x14ac:dyDescent="0.3">
      <c r="A4" t="s">
        <v>6</v>
      </c>
      <c r="B4" t="s">
        <v>3</v>
      </c>
      <c r="C4" t="s">
        <v>4</v>
      </c>
      <c r="D4" t="s">
        <v>2</v>
      </c>
      <c r="E4" t="s">
        <v>5</v>
      </c>
      <c r="F4" t="s">
        <v>28</v>
      </c>
      <c r="G4" t="s">
        <v>30</v>
      </c>
    </row>
    <row r="5" spans="1:7" x14ac:dyDescent="0.3">
      <c r="A5">
        <f>1/100</f>
        <v>0.01</v>
      </c>
      <c r="B5">
        <v>0.79400000000000004</v>
      </c>
      <c r="C5">
        <v>0.83399999999999996</v>
      </c>
      <c r="D5">
        <f>AVERAGE(B5:C5)-B1</f>
        <v>0.71700000000000008</v>
      </c>
      <c r="E5">
        <f>(1-(Table1456789101112[[#This Row],[Average]]/B2))*100</f>
        <v>34.400731930466598</v>
      </c>
      <c r="F5">
        <f>(1-((Table1456789101112[[#This Row],[Abs 1]]-B1)/B2))*100</f>
        <v>36.230558096980779</v>
      </c>
      <c r="G5">
        <f>(1-((Table1456789101112[[#This Row],[Abs 2]]-B1)/B2))*100</f>
        <v>32.570905763952432</v>
      </c>
    </row>
    <row r="6" spans="1:7" x14ac:dyDescent="0.3">
      <c r="A6">
        <f>1/50</f>
        <v>0.02</v>
      </c>
      <c r="B6">
        <v>0.747</v>
      </c>
      <c r="C6">
        <v>0.70499999999999996</v>
      </c>
      <c r="D6">
        <f>AVERAGE(B6:C6)-B1</f>
        <v>0.629</v>
      </c>
      <c r="E6">
        <f>(1-(Table1456789101112[[#This Row],[Average]]/B2))*100</f>
        <v>42.451967063129004</v>
      </c>
      <c r="F6">
        <f>(1-((Table1456789101112[[#This Row],[Abs 1]]-B1)/B2))*100</f>
        <v>40.530649588289116</v>
      </c>
      <c r="G6">
        <f>(1-((Table1456789101112[[#This Row],[Abs 2]]-B1)/B2))*100</f>
        <v>44.373284537968892</v>
      </c>
    </row>
    <row r="7" spans="1:7" x14ac:dyDescent="0.3">
      <c r="A7">
        <f>1/20</f>
        <v>0.05</v>
      </c>
      <c r="B7">
        <v>0.55700000000000005</v>
      </c>
      <c r="C7">
        <v>0.45900000000000002</v>
      </c>
      <c r="D7">
        <f>AVERAGE(B7:C7)-B1</f>
        <v>0.41100000000000003</v>
      </c>
      <c r="E7">
        <f>(1-(Table1456789101112[[#This Row],[Average]]/B2))*100</f>
        <v>62.397072278133578</v>
      </c>
      <c r="F7">
        <f>(1-((Table1456789101112[[#This Row],[Abs 1]]-B1)/B2))*100</f>
        <v>57.913998170173819</v>
      </c>
      <c r="G7">
        <f>(1-((Table1456789101112[[#This Row],[Abs 2]]-B1)/B2))*100</f>
        <v>66.880146386093315</v>
      </c>
    </row>
    <row r="8" spans="1:7" x14ac:dyDescent="0.3">
      <c r="A8">
        <f>1/10</f>
        <v>0.1</v>
      </c>
      <c r="B8">
        <v>0.28100000000000003</v>
      </c>
      <c r="C8">
        <v>0.23</v>
      </c>
      <c r="D8">
        <f>AVERAGE(B8:C8)-B1</f>
        <v>0.1585</v>
      </c>
      <c r="E8">
        <f>(1-(Table1456789101112[[#This Row],[Average]]/B2))*100</f>
        <v>85.498627630375111</v>
      </c>
      <c r="F8">
        <f>(1-((Table1456789101112[[#This Row],[Abs 1]]-B1)/B2))*100</f>
        <v>83.165599268069528</v>
      </c>
      <c r="G8">
        <f>(1-((Table1456789101112[[#This Row],[Abs 2]]-B1)/B2))*100</f>
        <v>87.831655992680695</v>
      </c>
    </row>
    <row r="12" spans="1:7" x14ac:dyDescent="0.3">
      <c r="A12" t="s">
        <v>7</v>
      </c>
      <c r="B12">
        <f>MEDIAN(Table1456789101112[Q])</f>
        <v>52.424519670631291</v>
      </c>
      <c r="F12">
        <f>MEDIAN(Table1456789101112[Q1])</f>
        <v>49.222323879231467</v>
      </c>
      <c r="G12">
        <f>MEDIAN(Table1456789101112[Q2])</f>
        <v>55.6267154620311</v>
      </c>
    </row>
    <row r="13" spans="1:7" x14ac:dyDescent="0.3">
      <c r="A13" t="s">
        <v>9</v>
      </c>
      <c r="B13">
        <f>((B12/Trolox!C17)-Trolox!D17)*10</f>
        <v>2531.7454523886554</v>
      </c>
      <c r="F13">
        <f>((F12/Trolox!C17)-Trolox!D17)*10</f>
        <v>2366.8276648050746</v>
      </c>
      <c r="G13">
        <f>((G12/Trolox!C17)-Trolox!D17)*10</f>
        <v>2696.6632399722357</v>
      </c>
    </row>
    <row r="14" spans="1:7" x14ac:dyDescent="0.3">
      <c r="A14" t="s">
        <v>20</v>
      </c>
      <c r="B14">
        <f>(B13*0.00001*250.29)</f>
        <v>6.3367056927835659</v>
      </c>
      <c r="F14">
        <f>(F13*0.00001*250.29)</f>
        <v>5.9239329622406212</v>
      </c>
      <c r="G14">
        <f>(G13*0.00001*250.29)</f>
        <v>6.7494784233265097</v>
      </c>
    </row>
    <row r="15" spans="1:7" x14ac:dyDescent="0.3">
      <c r="A15" t="s">
        <v>21</v>
      </c>
      <c r="B15">
        <v>111.20679512256034</v>
      </c>
      <c r="F15">
        <v>149.80834957261231</v>
      </c>
      <c r="G15">
        <v>170.68529126164535</v>
      </c>
    </row>
    <row r="16" spans="1:7" x14ac:dyDescent="0.3">
      <c r="A16" t="s">
        <v>22</v>
      </c>
      <c r="B16">
        <v>44.431177882680224</v>
      </c>
      <c r="F16">
        <v>41.53693290665754</v>
      </c>
      <c r="G16">
        <v>47.3254228587029</v>
      </c>
    </row>
    <row r="18" spans="6:7" x14ac:dyDescent="0.3">
      <c r="F18" t="s">
        <v>31</v>
      </c>
      <c r="G18">
        <f>STDEV(F15:G15)</f>
        <v>14.762227038751393</v>
      </c>
    </row>
    <row r="19" spans="6:7" x14ac:dyDescent="0.3">
      <c r="G19">
        <f>STDEV(F16:G16)</f>
        <v>4.0930804979214672</v>
      </c>
    </row>
    <row r="21" spans="6:7" x14ac:dyDescent="0.3">
      <c r="F21" s="1">
        <f>100% -ABS(G15/F15)</f>
        <v>-0.13935766429970542</v>
      </c>
    </row>
  </sheetData>
  <pageMargins left="0.7" right="0.7" top="0.75" bottom="0.75" header="0.3" footer="0.3"/>
  <drawing r:id="rId1"/>
  <tableParts count="1">
    <tablePart r:id="rId2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9F5B42-882B-4045-8B87-978D2E555BDF}">
  <dimension ref="A1:G21"/>
  <sheetViews>
    <sheetView workbookViewId="0">
      <selection activeCell="G14" sqref="G14"/>
    </sheetView>
  </sheetViews>
  <sheetFormatPr defaultRowHeight="14.4" x14ac:dyDescent="0.3"/>
  <cols>
    <col min="1" max="1" width="14.6640625" customWidth="1"/>
    <col min="2" max="2" width="11" bestFit="1" customWidth="1"/>
    <col min="3" max="3" width="10.44140625" customWidth="1"/>
    <col min="4" max="4" width="9.6640625" customWidth="1"/>
  </cols>
  <sheetData>
    <row r="1" spans="1:7" x14ac:dyDescent="0.3">
      <c r="A1" t="s">
        <v>0</v>
      </c>
      <c r="B1">
        <v>9.7000000000000003E-2</v>
      </c>
    </row>
    <row r="2" spans="1:7" x14ac:dyDescent="0.3">
      <c r="A2" t="s">
        <v>1</v>
      </c>
      <c r="B2">
        <f>1.19-B1</f>
        <v>1.093</v>
      </c>
    </row>
    <row r="4" spans="1:7" x14ac:dyDescent="0.3">
      <c r="A4" t="s">
        <v>6</v>
      </c>
      <c r="B4" t="s">
        <v>3</v>
      </c>
      <c r="C4" t="s">
        <v>4</v>
      </c>
      <c r="D4" t="s">
        <v>2</v>
      </c>
      <c r="E4" t="s">
        <v>5</v>
      </c>
      <c r="F4" t="s">
        <v>28</v>
      </c>
      <c r="G4" t="s">
        <v>30</v>
      </c>
    </row>
    <row r="5" spans="1:7" x14ac:dyDescent="0.3">
      <c r="A5">
        <f>1/100</f>
        <v>0.01</v>
      </c>
      <c r="B5">
        <v>0.87</v>
      </c>
      <c r="C5">
        <v>0.83899999999999997</v>
      </c>
      <c r="D5">
        <f>AVERAGE(B5:C5)-B1</f>
        <v>0.75750000000000006</v>
      </c>
      <c r="E5">
        <f>(1-(Table145678910111213[[#This Row],[Average]]/B2))*100</f>
        <v>30.695333943275383</v>
      </c>
      <c r="F5">
        <f>(1-((Table145678910111213[[#This Row],[Abs 1]]-B1)/B2))*100</f>
        <v>29.27721866422689</v>
      </c>
      <c r="G5">
        <f>(1-((Table145678910111213[[#This Row],[Abs 2]]-B1)/B2))*100</f>
        <v>32.113449222323872</v>
      </c>
    </row>
    <row r="6" spans="1:7" x14ac:dyDescent="0.3">
      <c r="A6">
        <f>1/50</f>
        <v>0.02</v>
      </c>
      <c r="B6">
        <v>0.87</v>
      </c>
      <c r="C6">
        <v>0.76900000000000002</v>
      </c>
      <c r="D6">
        <f>AVERAGE(B6:C6)-B1</f>
        <v>0.72250000000000003</v>
      </c>
      <c r="E6">
        <f>(1-(Table145678910111213[[#This Row],[Average]]/B2))*100</f>
        <v>33.897529734675203</v>
      </c>
      <c r="F6">
        <f>(1-((Table145678910111213[[#This Row],[Abs 1]]-B1)/B2))*100</f>
        <v>29.27721866422689</v>
      </c>
      <c r="G6">
        <f>(1-((Table145678910111213[[#This Row],[Abs 2]]-B1)/B2))*100</f>
        <v>38.517840805123505</v>
      </c>
    </row>
    <row r="7" spans="1:7" x14ac:dyDescent="0.3">
      <c r="A7">
        <f>1/20</f>
        <v>0.05</v>
      </c>
      <c r="B7">
        <v>0.40799999999999997</v>
      </c>
      <c r="C7">
        <v>0.45</v>
      </c>
      <c r="D7">
        <f>AVERAGE(B7:C7)-B1</f>
        <v>0.33199999999999996</v>
      </c>
      <c r="E7">
        <f>(1-(Table145678910111213[[#This Row],[Average]]/B2))*100</f>
        <v>69.624885635864601</v>
      </c>
      <c r="F7">
        <f>(1-((Table145678910111213[[#This Row],[Abs 1]]-B1)/B2))*100</f>
        <v>71.546203110704482</v>
      </c>
      <c r="G7">
        <f>(1-((Table145678910111213[[#This Row],[Abs 2]]-B1)/B2))*100</f>
        <v>67.703568161024691</v>
      </c>
    </row>
    <row r="8" spans="1:7" x14ac:dyDescent="0.3">
      <c r="A8">
        <f>1/10</f>
        <v>0.1</v>
      </c>
      <c r="B8">
        <v>0.20899999999999999</v>
      </c>
      <c r="C8">
        <v>0.20200000000000001</v>
      </c>
      <c r="D8">
        <f>AVERAGE(B8:C8)-B1</f>
        <v>0.10850000000000001</v>
      </c>
      <c r="E8">
        <f>(1-(Table145678910111213[[#This Row],[Average]]/B2))*100</f>
        <v>90.073193046660577</v>
      </c>
      <c r="F8">
        <f>(1-((Table145678910111213[[#This Row],[Abs 1]]-B1)/B2))*100</f>
        <v>89.752973467520576</v>
      </c>
      <c r="G8">
        <f>(1-((Table145678910111213[[#This Row],[Abs 2]]-B1)/B2))*100</f>
        <v>90.393412625800551</v>
      </c>
    </row>
    <row r="12" spans="1:7" x14ac:dyDescent="0.3">
      <c r="A12" t="s">
        <v>7</v>
      </c>
      <c r="B12">
        <f>MEDIAN(Table145678910111213[Q])</f>
        <v>51.761207685269902</v>
      </c>
      <c r="F12">
        <f>MEDIAN(Table145678910111213[Q1])</f>
        <v>50.411710887465688</v>
      </c>
      <c r="G12">
        <f>MEDIAN(Table145678910111213[Q2])</f>
        <v>53.110704483074102</v>
      </c>
    </row>
    <row r="13" spans="1:7" x14ac:dyDescent="0.3">
      <c r="A13" t="s">
        <v>9</v>
      </c>
      <c r="B13">
        <f>((B12/Trolox!C17)-Trolox!D17)*10</f>
        <v>2497.5839106749136</v>
      </c>
      <c r="F13">
        <f>((F12/Trolox!C17)-Trolox!D17)*10</f>
        <v>2428.0828430504048</v>
      </c>
      <c r="G13">
        <f>((G12/Trolox!C17)-Trolox!D17)*10</f>
        <v>2567.0849782994223</v>
      </c>
    </row>
    <row r="14" spans="1:7" x14ac:dyDescent="0.3">
      <c r="A14" t="s">
        <v>20</v>
      </c>
      <c r="B14">
        <f>(B13*0.00001*250.29)</f>
        <v>6.2512027700282413</v>
      </c>
      <c r="F14">
        <f>(F13*0.00001*250.29)</f>
        <v>6.0772485478708589</v>
      </c>
      <c r="G14">
        <f>(G13*0.00001*250.29)</f>
        <v>6.4251569921856237</v>
      </c>
    </row>
    <row r="15" spans="1:7" x14ac:dyDescent="0.3">
      <c r="A15" t="s">
        <v>21</v>
      </c>
      <c r="B15">
        <v>157.5592921996487</v>
      </c>
      <c r="F15">
        <v>153.68549588628989</v>
      </c>
      <c r="G15">
        <v>162.48363559809661</v>
      </c>
    </row>
    <row r="16" spans="1:7" x14ac:dyDescent="0.3">
      <c r="A16" t="s">
        <v>22</v>
      </c>
      <c r="B16">
        <v>62.95069407473278</v>
      </c>
      <c r="F16">
        <v>61.198944943423122</v>
      </c>
      <c r="G16">
        <v>64.702443206042446</v>
      </c>
    </row>
    <row r="18" spans="6:7" x14ac:dyDescent="0.3">
      <c r="F18" t="s">
        <v>31</v>
      </c>
      <c r="G18">
        <f>STDEV(F15:G15)</f>
        <v>6.221224252045193</v>
      </c>
    </row>
    <row r="19" spans="6:7" x14ac:dyDescent="0.3">
      <c r="G19">
        <f>STDEV(F16:G16)</f>
        <v>2.4773473793734118</v>
      </c>
    </row>
    <row r="21" spans="6:7" x14ac:dyDescent="0.3">
      <c r="F21" s="1">
        <f>100% -ABS(G15/F15)</f>
        <v>-5.7247690558361874E-2</v>
      </c>
    </row>
  </sheetData>
  <pageMargins left="0.7" right="0.7" top="0.75" bottom="0.75" header="0.3" footer="0.3"/>
  <drawing r:id="rId1"/>
  <tableParts count="1">
    <tablePart r:id="rId2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C4205F-E2AE-491A-8848-6A893CC3733E}">
  <dimension ref="A1:G21"/>
  <sheetViews>
    <sheetView topLeftCell="A2" workbookViewId="0">
      <selection activeCell="G16" sqref="G16"/>
    </sheetView>
  </sheetViews>
  <sheetFormatPr defaultRowHeight="14.4" x14ac:dyDescent="0.3"/>
  <cols>
    <col min="1" max="1" width="14.6640625" customWidth="1"/>
    <col min="2" max="2" width="11" bestFit="1" customWidth="1"/>
    <col min="3" max="3" width="10.44140625" customWidth="1"/>
    <col min="4" max="4" width="9.6640625" customWidth="1"/>
  </cols>
  <sheetData>
    <row r="1" spans="1:7" x14ac:dyDescent="0.3">
      <c r="A1" t="s">
        <v>0</v>
      </c>
      <c r="B1">
        <v>9.7000000000000003E-2</v>
      </c>
    </row>
    <row r="2" spans="1:7" x14ac:dyDescent="0.3">
      <c r="A2" t="s">
        <v>1</v>
      </c>
      <c r="B2">
        <f>1.19-B1</f>
        <v>1.093</v>
      </c>
    </row>
    <row r="4" spans="1:7" x14ac:dyDescent="0.3">
      <c r="A4" t="s">
        <v>6</v>
      </c>
      <c r="B4" t="s">
        <v>3</v>
      </c>
      <c r="C4" t="s">
        <v>4</v>
      </c>
      <c r="D4" t="s">
        <v>2</v>
      </c>
      <c r="E4" t="s">
        <v>5</v>
      </c>
      <c r="F4" t="s">
        <v>28</v>
      </c>
      <c r="G4" t="s">
        <v>30</v>
      </c>
    </row>
    <row r="5" spans="1:7" x14ac:dyDescent="0.3">
      <c r="A5">
        <f>1/100</f>
        <v>0.01</v>
      </c>
      <c r="B5">
        <v>0.83799999999999997</v>
      </c>
      <c r="C5">
        <v>0.82099999999999995</v>
      </c>
      <c r="D5">
        <f>AVERAGE(B5:C5)-B1</f>
        <v>0.73249999999999993</v>
      </c>
      <c r="E5">
        <f>(1-(Table14567891011121314[[#This Row],[Average]]/B2))*100</f>
        <v>32.98261665141812</v>
      </c>
      <c r="F5">
        <f>(1-((Table14567891011121314[[#This Row],[Abs 1]]-B1)/B2))*100</f>
        <v>32.204940530649587</v>
      </c>
      <c r="G5">
        <f>(1-((Table14567891011121314[[#This Row],[Abs 2]]-B1)/B2))*100</f>
        <v>33.760292772186638</v>
      </c>
    </row>
    <row r="6" spans="1:7" x14ac:dyDescent="0.3">
      <c r="A6">
        <f>1/50</f>
        <v>0.02</v>
      </c>
      <c r="B6">
        <v>0.74099999999999999</v>
      </c>
      <c r="C6">
        <v>0.81</v>
      </c>
      <c r="D6">
        <f>AVERAGE(B6:C6)-B1</f>
        <v>0.6785000000000001</v>
      </c>
      <c r="E6">
        <f>(1-(Table14567891011121314[[#This Row],[Average]]/B2))*100</f>
        <v>37.923147301006388</v>
      </c>
      <c r="F6">
        <f>(1-((Table14567891011121314[[#This Row],[Abs 1]]-B1)/B2))*100</f>
        <v>41.079597438243368</v>
      </c>
      <c r="G6">
        <f>(1-((Table14567891011121314[[#This Row],[Abs 2]]-B1)/B2))*100</f>
        <v>34.766697163769436</v>
      </c>
    </row>
    <row r="7" spans="1:7" x14ac:dyDescent="0.3">
      <c r="A7">
        <f>1/20</f>
        <v>0.05</v>
      </c>
      <c r="B7">
        <v>0.39600000000000002</v>
      </c>
      <c r="C7">
        <v>0.41</v>
      </c>
      <c r="D7">
        <f>AVERAGE(B7:C7)-B1</f>
        <v>0.30600000000000005</v>
      </c>
      <c r="E7">
        <f>(1-(Table14567891011121314[[#This Row],[Average]]/B2))*100</f>
        <v>72.003659652333013</v>
      </c>
      <c r="F7">
        <f>(1-((Table14567891011121314[[#This Row],[Abs 1]]-B1)/B2))*100</f>
        <v>72.644098810612988</v>
      </c>
      <c r="G7">
        <f>(1-((Table14567891011121314[[#This Row],[Abs 2]]-B1)/B2))*100</f>
        <v>71.363220494053067</v>
      </c>
    </row>
    <row r="8" spans="1:7" x14ac:dyDescent="0.3">
      <c r="A8">
        <f>1/10</f>
        <v>0.1</v>
      </c>
      <c r="B8">
        <v>0.22</v>
      </c>
      <c r="C8">
        <v>0.28899999999999998</v>
      </c>
      <c r="D8">
        <f>AVERAGE(B8:C8)-B1</f>
        <v>0.1575</v>
      </c>
      <c r="E8">
        <f>(1-(Table14567891011121314[[#This Row],[Average]]/B2))*100</f>
        <v>85.590118938700826</v>
      </c>
      <c r="F8">
        <f>(1-((Table14567891011121314[[#This Row],[Abs 1]]-B1)/B2))*100</f>
        <v>88.746569075937785</v>
      </c>
      <c r="G8">
        <f>(1-((Table14567891011121314[[#This Row],[Abs 2]]-B1)/B2))*100</f>
        <v>82.433668801463867</v>
      </c>
    </row>
    <row r="12" spans="1:7" x14ac:dyDescent="0.3">
      <c r="A12" t="s">
        <v>7</v>
      </c>
      <c r="B12">
        <f>MEDIAN(Table14567891011121314[Q])</f>
        <v>54.963403476669697</v>
      </c>
      <c r="F12">
        <f>MEDIAN(Table14567891011121314[Q1])</f>
        <v>56.861848124428178</v>
      </c>
      <c r="G12">
        <f>MEDIAN(Table14567891011121314[Q2])</f>
        <v>53.064958828911251</v>
      </c>
    </row>
    <row r="13" spans="1:7" x14ac:dyDescent="0.3">
      <c r="A13" t="s">
        <v>9</v>
      </c>
      <c r="B13">
        <f>((B12/Trolox!C17)-Trolox!D17)*10</f>
        <v>2662.501698258493</v>
      </c>
      <c r="F13">
        <f>((F12/Trolox!C17)-Trolox!D17)*10</f>
        <v>2760.274386611617</v>
      </c>
      <c r="G13">
        <f>((G12/Trolox!C17)-Trolox!D17)*10</f>
        <v>2564.7290099053716</v>
      </c>
    </row>
    <row r="14" spans="1:7" x14ac:dyDescent="0.3">
      <c r="A14" t="s">
        <v>20</v>
      </c>
      <c r="B14">
        <f>(B13*0.00001*250.29)</f>
        <v>6.6639755005711825</v>
      </c>
      <c r="F14">
        <f>(F13*0.00001*250.29)</f>
        <v>6.9086907622502167</v>
      </c>
      <c r="G14">
        <f>(G13*0.00001*250.29)</f>
        <v>6.4192602388921554</v>
      </c>
    </row>
    <row r="15" spans="1:7" x14ac:dyDescent="0.3">
      <c r="A15" t="s">
        <v>21</v>
      </c>
      <c r="B15">
        <v>117.19345777386748</v>
      </c>
      <c r="F15">
        <v>174.7115585873874</v>
      </c>
      <c r="G15">
        <v>162.33451458603213</v>
      </c>
    </row>
    <row r="16" spans="1:7" x14ac:dyDescent="0.3">
      <c r="A16" t="s">
        <v>22</v>
      </c>
      <c r="B16">
        <v>46.823068350260691</v>
      </c>
      <c r="F16">
        <v>48.542510359458838</v>
      </c>
      <c r="G16">
        <v>64.858569893336593</v>
      </c>
    </row>
    <row r="18" spans="6:7" x14ac:dyDescent="0.3">
      <c r="F18" t="s">
        <v>31</v>
      </c>
      <c r="G18">
        <f>STDEV(F15:G15)</f>
        <v>8.7518917444025934</v>
      </c>
    </row>
    <row r="19" spans="6:7" x14ac:dyDescent="0.3">
      <c r="G19">
        <f>STDEV(F16:G16)</f>
        <v>11.537196338648409</v>
      </c>
    </row>
    <row r="21" spans="6:7" x14ac:dyDescent="0.3">
      <c r="F21" s="1">
        <f>100% -ABS(G15/F15)</f>
        <v>7.0842731307697138E-2</v>
      </c>
    </row>
  </sheetData>
  <pageMargins left="0.7" right="0.7" top="0.75" bottom="0.75" header="0.3" footer="0.3"/>
  <drawing r:id="rId1"/>
  <tableParts count="1">
    <tablePart r:id="rId2"/>
  </tablePart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375380-2D3E-4EFE-A374-4E092C39F5D8}">
  <dimension ref="A1:G21"/>
  <sheetViews>
    <sheetView workbookViewId="0">
      <selection activeCell="G14" sqref="G14"/>
    </sheetView>
  </sheetViews>
  <sheetFormatPr defaultRowHeight="14.4" x14ac:dyDescent="0.3"/>
  <cols>
    <col min="1" max="1" width="14.6640625" customWidth="1"/>
    <col min="2" max="2" width="11" bestFit="1" customWidth="1"/>
    <col min="3" max="3" width="10.44140625" customWidth="1"/>
    <col min="4" max="4" width="9.6640625" customWidth="1"/>
  </cols>
  <sheetData>
    <row r="1" spans="1:7" x14ac:dyDescent="0.3">
      <c r="A1" t="s">
        <v>0</v>
      </c>
      <c r="B1">
        <v>9.7000000000000003E-2</v>
      </c>
    </row>
    <row r="2" spans="1:7" x14ac:dyDescent="0.3">
      <c r="A2" t="s">
        <v>1</v>
      </c>
      <c r="B2">
        <f>1.19-B1</f>
        <v>1.093</v>
      </c>
    </row>
    <row r="4" spans="1:7" x14ac:dyDescent="0.3">
      <c r="A4" t="s">
        <v>6</v>
      </c>
      <c r="B4" t="s">
        <v>3</v>
      </c>
      <c r="C4" t="s">
        <v>4</v>
      </c>
      <c r="D4" t="s">
        <v>2</v>
      </c>
      <c r="E4" t="s">
        <v>5</v>
      </c>
      <c r="F4" t="s">
        <v>28</v>
      </c>
      <c r="G4" t="s">
        <v>30</v>
      </c>
    </row>
    <row r="5" spans="1:7" x14ac:dyDescent="0.3">
      <c r="A5">
        <f>1/100</f>
        <v>0.01</v>
      </c>
      <c r="B5">
        <v>0.92700000000000005</v>
      </c>
      <c r="C5">
        <v>0.875</v>
      </c>
      <c r="D5">
        <f>AVERAGE(B5:C5)-B1</f>
        <v>0.80400000000000005</v>
      </c>
      <c r="E5">
        <f>(1-(Table1456789101112131415[[#This Row],[Average]]/B2))*100</f>
        <v>26.440988106129915</v>
      </c>
      <c r="F5">
        <f>(1-((Table1456789101112131415[[#This Row],[Abs 1]]-B1)/B2))*100</f>
        <v>24.06221408966147</v>
      </c>
      <c r="G5">
        <f>(1-((Table1456789101112131415[[#This Row],[Abs 2]]-B1)/B2))*100</f>
        <v>28.819762122598348</v>
      </c>
    </row>
    <row r="6" spans="1:7" x14ac:dyDescent="0.3">
      <c r="A6">
        <f>1/50</f>
        <v>0.02</v>
      </c>
      <c r="B6">
        <v>0.68500000000000005</v>
      </c>
      <c r="C6">
        <v>0.70099999999999996</v>
      </c>
      <c r="D6">
        <f>AVERAGE(B6:C6)-B1</f>
        <v>0.59600000000000009</v>
      </c>
      <c r="E6">
        <f>(1-(Table1456789101112131415[[#This Row],[Average]]/B2))*100</f>
        <v>45.471180237877398</v>
      </c>
      <c r="F6">
        <f>(1-((Table1456789101112131415[[#This Row],[Abs 1]]-B1)/B2))*100</f>
        <v>46.203110704483066</v>
      </c>
      <c r="G6">
        <f>(1-((Table1456789101112131415[[#This Row],[Abs 2]]-B1)/B2))*100</f>
        <v>44.73924977127173</v>
      </c>
    </row>
    <row r="7" spans="1:7" x14ac:dyDescent="0.3">
      <c r="A7">
        <f>1/20</f>
        <v>0.05</v>
      </c>
      <c r="B7">
        <v>0.43</v>
      </c>
      <c r="C7">
        <v>0.39500000000000002</v>
      </c>
      <c r="D7">
        <f>AVERAGE(B7:C7)-B1</f>
        <v>0.3155</v>
      </c>
      <c r="E7">
        <f>(1-(Table1456789101112131415[[#This Row],[Average]]/B2))*100</f>
        <v>71.134492223238794</v>
      </c>
      <c r="F7">
        <f>(1-((Table1456789101112131415[[#This Row],[Abs 1]]-B1)/B2))*100</f>
        <v>69.533394327538886</v>
      </c>
      <c r="G7">
        <f>(1-((Table1456789101112131415[[#This Row],[Abs 2]]-B1)/B2))*100</f>
        <v>72.735590118938703</v>
      </c>
    </row>
    <row r="8" spans="1:7" x14ac:dyDescent="0.3">
      <c r="A8">
        <f>1/10</f>
        <v>0.1</v>
      </c>
      <c r="B8">
        <v>0.219</v>
      </c>
      <c r="C8">
        <v>0.21099999999999999</v>
      </c>
      <c r="D8">
        <f>AVERAGE(B8:C8)-B1</f>
        <v>0.11799999999999999</v>
      </c>
      <c r="E8">
        <f>(1-(Table1456789101112131415[[#This Row],[Average]]/B2))*100</f>
        <v>89.20402561756633</v>
      </c>
      <c r="F8">
        <f>(1-((Table1456789101112131415[[#This Row],[Abs 1]]-B1)/B2))*100</f>
        <v>88.8380603842635</v>
      </c>
      <c r="G8">
        <f>(1-((Table1456789101112131415[[#This Row],[Abs 2]]-B1)/B2))*100</f>
        <v>89.569990850869161</v>
      </c>
    </row>
    <row r="12" spans="1:7" x14ac:dyDescent="0.3">
      <c r="A12" t="s">
        <v>7</v>
      </c>
      <c r="B12">
        <f>MEDIAN(Table1456789101112131415[Q])</f>
        <v>58.3028362305581</v>
      </c>
      <c r="F12">
        <f>MEDIAN(Table1456789101112131415[Q1])</f>
        <v>57.868252516010976</v>
      </c>
      <c r="G12">
        <f>MEDIAN(Table1456789101112131415[Q2])</f>
        <v>58.737419945105216</v>
      </c>
    </row>
    <row r="13" spans="1:7" x14ac:dyDescent="0.3">
      <c r="A13" t="s">
        <v>9</v>
      </c>
      <c r="B13">
        <f>((B12/Trolox!C17)-Trolox!D17)*10</f>
        <v>2834.4873910242277</v>
      </c>
      <c r="F13">
        <f>((F12/Trolox!C17)-Trolox!D17)*10</f>
        <v>2812.1056912807421</v>
      </c>
      <c r="G13">
        <f>((G12/Trolox!C17)-Trolox!D17)*10</f>
        <v>2856.8690907677137</v>
      </c>
    </row>
    <row r="14" spans="1:7" x14ac:dyDescent="0.3">
      <c r="A14" t="s">
        <v>20</v>
      </c>
      <c r="B14">
        <f>(B13*0.00001*250.29)</f>
        <v>7.0944384909945404</v>
      </c>
      <c r="F14">
        <f>(F13*0.00001*250.29)</f>
        <v>7.0384193347065693</v>
      </c>
      <c r="G14">
        <f>(G13*0.00001*250.29)</f>
        <v>7.1504576472825105</v>
      </c>
    </row>
    <row r="15" spans="1:7" x14ac:dyDescent="0.3">
      <c r="A15" t="s">
        <v>21</v>
      </c>
      <c r="B15">
        <v>125.09817314334383</v>
      </c>
      <c r="F15">
        <v>177.99222085280684</v>
      </c>
      <c r="G15">
        <v>180.82552008203274</v>
      </c>
    </row>
    <row r="16" spans="1:7" x14ac:dyDescent="0.3">
      <c r="A16" t="s">
        <v>22</v>
      </c>
      <c r="B16">
        <v>49.981290959824129</v>
      </c>
      <c r="F16">
        <v>49.586628330314127</v>
      </c>
      <c r="G16">
        <v>50.375953589334138</v>
      </c>
    </row>
    <row r="18" spans="6:7" x14ac:dyDescent="0.3">
      <c r="F18" t="s">
        <v>31</v>
      </c>
      <c r="G18">
        <f>STDEV(F15:G15)</f>
        <v>2.003445098116253</v>
      </c>
    </row>
    <row r="19" spans="6:7" x14ac:dyDescent="0.3">
      <c r="G19">
        <f>STDEV(F16:G16)</f>
        <v>0.55813724321487757</v>
      </c>
    </row>
    <row r="21" spans="6:7" x14ac:dyDescent="0.3">
      <c r="F21" s="1">
        <f>100% -ABS(G15/F15)</f>
        <v>-1.5918107070358678E-2</v>
      </c>
    </row>
  </sheetData>
  <pageMargins left="0.7" right="0.7" top="0.75" bottom="0.75" header="0.3" footer="0.3"/>
  <drawing r:id="rId1"/>
  <tableParts count="1">
    <tablePart r:id="rId2"/>
  </tablePart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9D8EBF-D744-436B-B477-78B0C1922B25}">
  <dimension ref="A1:G20"/>
  <sheetViews>
    <sheetView workbookViewId="0">
      <selection activeCell="G14" sqref="G14"/>
    </sheetView>
  </sheetViews>
  <sheetFormatPr defaultRowHeight="14.4" x14ac:dyDescent="0.3"/>
  <cols>
    <col min="1" max="1" width="14.6640625" customWidth="1"/>
    <col min="2" max="2" width="11" bestFit="1" customWidth="1"/>
    <col min="3" max="3" width="10.44140625" customWidth="1"/>
    <col min="4" max="4" width="9.6640625" customWidth="1"/>
  </cols>
  <sheetData>
    <row r="1" spans="1:7" x14ac:dyDescent="0.3">
      <c r="A1" t="s">
        <v>0</v>
      </c>
      <c r="B1">
        <v>9.7000000000000003E-2</v>
      </c>
    </row>
    <row r="2" spans="1:7" x14ac:dyDescent="0.3">
      <c r="A2" t="s">
        <v>1</v>
      </c>
      <c r="B2">
        <f>1.19-B1</f>
        <v>1.093</v>
      </c>
    </row>
    <row r="4" spans="1:7" x14ac:dyDescent="0.3">
      <c r="A4" t="s">
        <v>6</v>
      </c>
      <c r="B4" t="s">
        <v>3</v>
      </c>
      <c r="C4" t="s">
        <v>4</v>
      </c>
      <c r="D4" t="s">
        <v>2</v>
      </c>
      <c r="E4" t="s">
        <v>5</v>
      </c>
      <c r="F4" t="s">
        <v>28</v>
      </c>
      <c r="G4" t="s">
        <v>30</v>
      </c>
    </row>
    <row r="5" spans="1:7" x14ac:dyDescent="0.3">
      <c r="A5">
        <f>1/100</f>
        <v>0.01</v>
      </c>
      <c r="B5">
        <v>0.88300000000000001</v>
      </c>
      <c r="C5">
        <v>0.875</v>
      </c>
      <c r="D5">
        <f>AVERAGE(B5:C5)-B1</f>
        <v>0.78200000000000003</v>
      </c>
      <c r="E5">
        <f>(1-(Table145678910111213141516[[#This Row],[Average]]/B2))*100</f>
        <v>28.453796889295514</v>
      </c>
      <c r="F5">
        <f>(1-((Table145678910111213141516[[#This Row],[Abs 1]]-B1)/B2))*100</f>
        <v>28.08783165599268</v>
      </c>
      <c r="G5">
        <f>(1-((Table145678910111213141516[[#This Row],[Abs 2]]-B1)/B2))*100</f>
        <v>28.819762122598348</v>
      </c>
    </row>
    <row r="6" spans="1:7" x14ac:dyDescent="0.3">
      <c r="A6">
        <f>1/50</f>
        <v>0.02</v>
      </c>
      <c r="B6">
        <v>0.73299999999999998</v>
      </c>
      <c r="C6">
        <v>0.74</v>
      </c>
      <c r="D6">
        <f>AVERAGE(B6:C6)-B1</f>
        <v>0.63949999999999996</v>
      </c>
      <c r="E6">
        <f>(1-(Table145678910111213141516[[#This Row],[Average]]/B2))*100</f>
        <v>41.491308325709063</v>
      </c>
      <c r="F6">
        <f>(1-((Table145678910111213141516[[#This Row],[Abs 1]]-B1)/B2))*100</f>
        <v>41.811527904849029</v>
      </c>
      <c r="G6">
        <f>(1-((Table145678910111213141516[[#This Row],[Abs 2]]-B1)/B2))*100</f>
        <v>41.171088746569076</v>
      </c>
    </row>
    <row r="7" spans="1:7" x14ac:dyDescent="0.3">
      <c r="A7">
        <f>1/20</f>
        <v>0.05</v>
      </c>
      <c r="B7">
        <v>0.36699999999999999</v>
      </c>
      <c r="C7">
        <v>0.38100000000000001</v>
      </c>
      <c r="D7">
        <f>AVERAGE(B7:C7)-B1</f>
        <v>0.27700000000000002</v>
      </c>
      <c r="E7">
        <f>(1-(Table145678910111213141516[[#This Row],[Average]]/B2))*100</f>
        <v>74.656907593778584</v>
      </c>
      <c r="F7">
        <f>(1-((Table145678910111213141516[[#This Row],[Abs 1]]-B1)/B2))*100</f>
        <v>75.297346752058544</v>
      </c>
      <c r="G7">
        <f>(1-((Table145678910111213141516[[#This Row],[Abs 2]]-B1)/B2))*100</f>
        <v>74.016468435498624</v>
      </c>
    </row>
    <row r="8" spans="1:7" x14ac:dyDescent="0.3">
      <c r="A8">
        <f>1/10</f>
        <v>0.1</v>
      </c>
      <c r="B8">
        <v>0.219</v>
      </c>
      <c r="C8">
        <v>0.2</v>
      </c>
      <c r="D8">
        <f>AVERAGE(B8:C8)-B1</f>
        <v>0.11250000000000002</v>
      </c>
      <c r="E8">
        <f>(1-(Table145678910111213141516[[#This Row],[Average]]/B2))*100</f>
        <v>89.707227813357733</v>
      </c>
      <c r="F8">
        <f>(1-((Table145678910111213141516[[#This Row],[Abs 1]]-B1)/B2))*100</f>
        <v>88.8380603842635</v>
      </c>
      <c r="G8">
        <f>(1-((Table145678910111213141516[[#This Row],[Abs 2]]-B1)/B2))*100</f>
        <v>90.576395242451966</v>
      </c>
    </row>
    <row r="12" spans="1:7" x14ac:dyDescent="0.3">
      <c r="A12" t="s">
        <v>7</v>
      </c>
      <c r="B12">
        <f>MEDIAN(Table145678910111213141516[Q])</f>
        <v>58.074107959743827</v>
      </c>
      <c r="F12">
        <f>MEDIAN(Table145678910111213141516[Q1])</f>
        <v>58.554437328453787</v>
      </c>
      <c r="G12">
        <f>MEDIAN(Table145678910111213141516[Q2])</f>
        <v>57.593778591033853</v>
      </c>
    </row>
    <row r="13" spans="1:7" x14ac:dyDescent="0.3">
      <c r="A13" t="s">
        <v>9</v>
      </c>
      <c r="B13">
        <f>((B12/Trolox!C17)-Trolox!D17)*10</f>
        <v>2822.7075490539719</v>
      </c>
      <c r="F13">
        <f>((F12/Trolox!C17)-Trolox!D17)*10</f>
        <v>2847.4452171915091</v>
      </c>
      <c r="G13">
        <f>((G12/Trolox!C17)-Trolox!D17)*10</f>
        <v>2797.9698809164352</v>
      </c>
    </row>
    <row r="14" spans="1:7" x14ac:dyDescent="0.3">
      <c r="A14" t="s">
        <v>20</v>
      </c>
      <c r="B14">
        <f>(B13*0.00001*250.29)</f>
        <v>7.0649547245271869</v>
      </c>
      <c r="F14">
        <f>(F13*0.00001*250.29)</f>
        <v>7.126870634108629</v>
      </c>
      <c r="G14">
        <f>(G13*0.00001*250.29)</f>
        <v>7.0030388149457456</v>
      </c>
    </row>
    <row r="15" spans="1:7" x14ac:dyDescent="0.3">
      <c r="A15" t="s">
        <v>21</v>
      </c>
      <c r="B15">
        <v>122.66897285730828</v>
      </c>
      <c r="F15">
        <v>180.22903603377469</v>
      </c>
      <c r="G15">
        <v>177.09749478041971</v>
      </c>
    </row>
    <row r="16" spans="1:7" x14ac:dyDescent="0.3">
      <c r="A16" t="s">
        <v>22</v>
      </c>
      <c r="B16">
        <v>49.010736688364808</v>
      </c>
      <c r="F16">
        <v>49.440257394390244</v>
      </c>
      <c r="G16">
        <v>48.58121598233938</v>
      </c>
    </row>
    <row r="18" spans="6:7" x14ac:dyDescent="0.3">
      <c r="F18" t="s">
        <v>31</v>
      </c>
      <c r="G18">
        <f>STDEV(F15:G15)</f>
        <v>2.2143340558127278</v>
      </c>
    </row>
    <row r="19" spans="6:7" x14ac:dyDescent="0.3">
      <c r="G19">
        <f>STDEV(F16:G16)</f>
        <v>0.60743400778123313</v>
      </c>
    </row>
    <row r="20" spans="6:7" x14ac:dyDescent="0.3">
      <c r="F20" s="1">
        <f>100% -ABS(G14/F14)</f>
        <v>1.7375342632183322E-2</v>
      </c>
    </row>
  </sheetData>
  <pageMargins left="0.7" right="0.7" top="0.75" bottom="0.75" header="0.3" footer="0.3"/>
  <drawing r:id="rId1"/>
  <tableParts count="1">
    <tablePart r:id="rId2"/>
  </tablePart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4EB853-B89B-499D-8DB6-1C4FD042FB1E}">
  <dimension ref="A1:G21"/>
  <sheetViews>
    <sheetView workbookViewId="0">
      <selection activeCell="F14" sqref="F14"/>
    </sheetView>
  </sheetViews>
  <sheetFormatPr defaultRowHeight="14.4" x14ac:dyDescent="0.3"/>
  <cols>
    <col min="1" max="1" width="14.6640625" customWidth="1"/>
    <col min="2" max="2" width="11" bestFit="1" customWidth="1"/>
    <col min="3" max="3" width="10.44140625" customWidth="1"/>
    <col min="4" max="4" width="9.6640625" customWidth="1"/>
  </cols>
  <sheetData>
    <row r="1" spans="1:7" x14ac:dyDescent="0.3">
      <c r="A1" t="s">
        <v>0</v>
      </c>
      <c r="B1">
        <v>9.7000000000000003E-2</v>
      </c>
    </row>
    <row r="2" spans="1:7" x14ac:dyDescent="0.3">
      <c r="A2" t="s">
        <v>1</v>
      </c>
      <c r="B2">
        <f>1.19-B1</f>
        <v>1.093</v>
      </c>
    </row>
    <row r="4" spans="1:7" x14ac:dyDescent="0.3">
      <c r="A4" t="s">
        <v>6</v>
      </c>
      <c r="B4" t="s">
        <v>3</v>
      </c>
      <c r="C4" t="s">
        <v>4</v>
      </c>
      <c r="D4" t="s">
        <v>2</v>
      </c>
      <c r="E4" t="s">
        <v>5</v>
      </c>
      <c r="F4" t="s">
        <v>28</v>
      </c>
      <c r="G4" t="s">
        <v>30</v>
      </c>
    </row>
    <row r="5" spans="1:7" x14ac:dyDescent="0.3">
      <c r="A5">
        <f>1/100</f>
        <v>0.01</v>
      </c>
      <c r="B5">
        <v>1</v>
      </c>
      <c r="C5">
        <v>1.06</v>
      </c>
      <c r="D5">
        <f>AVERAGE(B5:C5)-B1</f>
        <v>0.93300000000000005</v>
      </c>
      <c r="E5">
        <f>(1-(Table14567891011121314151617[[#This Row],[Average]]/B2))*100</f>
        <v>14.63860933211344</v>
      </c>
      <c r="F5">
        <f>(1-((Table14567891011121314151617[[#This Row],[Abs 1]]-B1)/B2))*100</f>
        <v>17.383348581884718</v>
      </c>
      <c r="G5">
        <f>(1-((Table14567891011121314151617[[#This Row],[Abs 2]]-B1)/B2))*100</f>
        <v>11.893870082342172</v>
      </c>
    </row>
    <row r="6" spans="1:7" x14ac:dyDescent="0.3">
      <c r="A6">
        <f>1/50</f>
        <v>0.02</v>
      </c>
      <c r="B6">
        <v>0.83</v>
      </c>
      <c r="C6">
        <v>0.89500000000000002</v>
      </c>
      <c r="D6">
        <f>AVERAGE(B6:C6)-B1</f>
        <v>0.76550000000000007</v>
      </c>
      <c r="E6">
        <f>(1-(Table14567891011121314151617[[#This Row],[Average]]/B2))*100</f>
        <v>29.963403476669704</v>
      </c>
      <c r="F6">
        <f>(1-((Table14567891011121314151617[[#This Row],[Abs 1]]-B1)/B2))*100</f>
        <v>32.936870997255262</v>
      </c>
      <c r="G6">
        <f>(1-((Table14567891011121314151617[[#This Row],[Abs 2]]-B1)/B2))*100</f>
        <v>26.989935956084167</v>
      </c>
    </row>
    <row r="7" spans="1:7" x14ac:dyDescent="0.3">
      <c r="A7">
        <f>1/20</f>
        <v>0.05</v>
      </c>
      <c r="B7">
        <v>0.5</v>
      </c>
      <c r="C7">
        <v>0.53400000000000003</v>
      </c>
      <c r="D7">
        <f>AVERAGE(B7:C7)-B1</f>
        <v>0.42000000000000004</v>
      </c>
      <c r="E7">
        <f>(1-(Table14567891011121314151617[[#This Row],[Average]]/B2))*100</f>
        <v>61.573650503202195</v>
      </c>
      <c r="F7">
        <f>(1-((Table14567891011121314151617[[#This Row],[Abs 1]]-B1)/B2))*100</f>
        <v>63.129002744739246</v>
      </c>
      <c r="G7">
        <f>(1-((Table14567891011121314151617[[#This Row],[Abs 2]]-B1)/B2))*100</f>
        <v>60.018298261665137</v>
      </c>
    </row>
    <row r="8" spans="1:7" x14ac:dyDescent="0.3">
      <c r="A8">
        <f>1/10</f>
        <v>0.1</v>
      </c>
      <c r="B8">
        <v>0.26900000000000002</v>
      </c>
      <c r="C8">
        <v>0.25600000000000001</v>
      </c>
      <c r="D8">
        <f>AVERAGE(B8:C8)-B1</f>
        <v>0.16550000000000001</v>
      </c>
      <c r="E8">
        <f>(1-(Table14567891011121314151617[[#This Row],[Average]]/B2))*100</f>
        <v>84.858188472095151</v>
      </c>
      <c r="F8">
        <f>(1-((Table14567891011121314151617[[#This Row],[Abs 1]]-B1)/B2))*100</f>
        <v>84.263494967978033</v>
      </c>
      <c r="G8">
        <f>(1-((Table14567891011121314151617[[#This Row],[Abs 2]]-B1)/B2))*100</f>
        <v>85.452881976212254</v>
      </c>
    </row>
    <row r="12" spans="1:7" x14ac:dyDescent="0.3">
      <c r="A12" t="s">
        <v>7</v>
      </c>
      <c r="B12">
        <f>MEDIAN(Table14567891011121314151617[Q])</f>
        <v>45.76852698993595</v>
      </c>
      <c r="F12">
        <f>MEDIAN(Table14567891011121314151617[Q1])</f>
        <v>48.032936870997254</v>
      </c>
      <c r="G12">
        <f>MEDIAN(Table14567891011121314151617[Q2])</f>
        <v>43.504117108874652</v>
      </c>
    </row>
    <row r="13" spans="1:7" x14ac:dyDescent="0.3">
      <c r="A13" t="s">
        <v>9</v>
      </c>
      <c r="B13">
        <f>((B12/Trolox!C17)-Trolox!D17)*10</f>
        <v>2188.9520510542129</v>
      </c>
      <c r="F13">
        <f>((F12/Trolox!C17)-Trolox!D17)*10</f>
        <v>2305.5724865597454</v>
      </c>
      <c r="G13">
        <f>((G12/Trolox!C17)-Trolox!D17)*10</f>
        <v>2072.3316155486814</v>
      </c>
    </row>
    <row r="14" spans="1:7" x14ac:dyDescent="0.3">
      <c r="A14" t="s">
        <v>20</v>
      </c>
      <c r="B14">
        <f>(B13*0.00001*250.29)</f>
        <v>5.4787280885835896</v>
      </c>
      <c r="F14">
        <f>(F13*0.00001*250.29)</f>
        <v>5.770617376610387</v>
      </c>
      <c r="G14">
        <f>(G13*0.00001*250.29)</f>
        <v>5.1868388005567949</v>
      </c>
    </row>
    <row r="15" spans="1:7" x14ac:dyDescent="0.3">
      <c r="A15" t="s">
        <v>21</v>
      </c>
      <c r="B15">
        <v>96.522265638861782</v>
      </c>
      <c r="F15">
        <v>145.93120325893477</v>
      </c>
      <c r="G15">
        <v>131.16822306454713</v>
      </c>
    </row>
    <row r="16" spans="1:7" x14ac:dyDescent="0.3">
      <c r="A16" t="s">
        <v>22</v>
      </c>
      <c r="B16">
        <v>38.564171816237881</v>
      </c>
      <c r="F16">
        <v>40.618748804323978</v>
      </c>
      <c r="G16">
        <v>52.406497688500203</v>
      </c>
    </row>
    <row r="18" spans="6:7" x14ac:dyDescent="0.3">
      <c r="F18" t="s">
        <v>31</v>
      </c>
      <c r="G18">
        <f>STDEV(F15:G15)</f>
        <v>10.439003405974194</v>
      </c>
    </row>
    <row r="19" spans="6:7" x14ac:dyDescent="0.3">
      <c r="G19">
        <f>STDEV(F16:G16)</f>
        <v>8.3351971709251504</v>
      </c>
    </row>
    <row r="21" spans="6:7" x14ac:dyDescent="0.3">
      <c r="F21" s="1">
        <f>100% -ABS(G15/F15)</f>
        <v>0.10116397223281137</v>
      </c>
    </row>
  </sheetData>
  <pageMargins left="0.7" right="0.7" top="0.75" bottom="0.75" header="0.3" footer="0.3"/>
  <drawing r:id="rId1"/>
  <tableParts count="1">
    <tablePart r:id="rId2"/>
  </tablePart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D7FA3B-2D1B-49AB-B4B6-11E8E223C9FC}">
  <dimension ref="A1:G21"/>
  <sheetViews>
    <sheetView workbookViewId="0">
      <selection activeCell="G14" sqref="G14"/>
    </sheetView>
  </sheetViews>
  <sheetFormatPr defaultRowHeight="14.4" x14ac:dyDescent="0.3"/>
  <cols>
    <col min="1" max="1" width="14.6640625" customWidth="1"/>
    <col min="2" max="2" width="11" bestFit="1" customWidth="1"/>
    <col min="3" max="3" width="10.44140625" customWidth="1"/>
    <col min="4" max="4" width="9.6640625" customWidth="1"/>
  </cols>
  <sheetData>
    <row r="1" spans="1:7" x14ac:dyDescent="0.3">
      <c r="A1" t="s">
        <v>0</v>
      </c>
      <c r="B1">
        <v>9.7000000000000003E-2</v>
      </c>
    </row>
    <row r="2" spans="1:7" x14ac:dyDescent="0.3">
      <c r="A2" t="s">
        <v>1</v>
      </c>
      <c r="B2">
        <f>1.19-B1</f>
        <v>1.093</v>
      </c>
    </row>
    <row r="4" spans="1:7" x14ac:dyDescent="0.3">
      <c r="A4" t="s">
        <v>6</v>
      </c>
      <c r="B4" t="s">
        <v>3</v>
      </c>
      <c r="C4" t="s">
        <v>4</v>
      </c>
      <c r="D4" t="s">
        <v>2</v>
      </c>
      <c r="E4" t="s">
        <v>5</v>
      </c>
      <c r="F4" t="s">
        <v>28</v>
      </c>
      <c r="G4" t="s">
        <v>30</v>
      </c>
    </row>
    <row r="5" spans="1:7" x14ac:dyDescent="0.3">
      <c r="A5">
        <f>1/100</f>
        <v>0.01</v>
      </c>
      <c r="B5">
        <v>0.751</v>
      </c>
      <c r="C5">
        <v>0.78</v>
      </c>
      <c r="D5">
        <f>AVERAGE(B5:C5)-B1</f>
        <v>0.66850000000000009</v>
      </c>
      <c r="E5">
        <f>(1-(Table1456789101112131415161718[[#This Row],[Average]]/B2))*100</f>
        <v>38.838060384263486</v>
      </c>
      <c r="F5">
        <f>(1-((Table1456789101112131415161718[[#This Row],[Abs 1]]-B1)/B2))*100</f>
        <v>40.164684354986271</v>
      </c>
      <c r="G5">
        <f>(1-((Table1456789101112131415161718[[#This Row],[Abs 2]]-B1)/B2))*100</f>
        <v>37.511436413540707</v>
      </c>
    </row>
    <row r="6" spans="1:7" x14ac:dyDescent="0.3">
      <c r="A6">
        <f>1/50</f>
        <v>0.02</v>
      </c>
      <c r="B6">
        <v>0.68500000000000005</v>
      </c>
      <c r="C6">
        <v>0.68</v>
      </c>
      <c r="D6">
        <f>AVERAGE(B6:C6)-B1</f>
        <v>0.58550000000000013</v>
      </c>
      <c r="E6">
        <f>(1-(Table1456789101112131415161718[[#This Row],[Average]]/B2))*100</f>
        <v>46.431838975297332</v>
      </c>
      <c r="F6">
        <f>(1-((Table1456789101112131415161718[[#This Row],[Abs 1]]-B1)/B2))*100</f>
        <v>46.203110704483066</v>
      </c>
      <c r="G6">
        <f>(1-((Table1456789101112131415161718[[#This Row],[Abs 2]]-B1)/B2))*100</f>
        <v>46.660567246111604</v>
      </c>
    </row>
    <row r="7" spans="1:7" x14ac:dyDescent="0.3">
      <c r="A7">
        <f>1/20</f>
        <v>0.05</v>
      </c>
      <c r="B7">
        <v>0.29199999999999998</v>
      </c>
      <c r="C7">
        <v>0.28199999999999997</v>
      </c>
      <c r="D7">
        <f>AVERAGE(B7:C7)-B1</f>
        <v>0.18999999999999997</v>
      </c>
      <c r="E7">
        <f>(1-(Table1456789101112131415161718[[#This Row],[Average]]/B2))*100</f>
        <v>82.616651418115282</v>
      </c>
      <c r="F7">
        <f>(1-((Table1456789101112131415161718[[#This Row],[Abs 1]]-B1)/B2))*100</f>
        <v>82.159194876486737</v>
      </c>
      <c r="G7">
        <f>(1-((Table1456789101112131415161718[[#This Row],[Abs 2]]-B1)/B2))*100</f>
        <v>83.074107959743827</v>
      </c>
    </row>
    <row r="8" spans="1:7" x14ac:dyDescent="0.3">
      <c r="A8">
        <f>1/10</f>
        <v>0.1</v>
      </c>
      <c r="B8">
        <v>0.20899999999999999</v>
      </c>
      <c r="C8">
        <v>0.215</v>
      </c>
      <c r="D8">
        <f>AVERAGE(B8:C8)-B1</f>
        <v>0.11499999999999999</v>
      </c>
      <c r="E8">
        <f>(1-(Table1456789101112131415161718[[#This Row],[Average]]/B2))*100</f>
        <v>89.47849954254346</v>
      </c>
      <c r="F8">
        <f>(1-((Table1456789101112131415161718[[#This Row],[Abs 1]]-B1)/B2))*100</f>
        <v>89.752973467520576</v>
      </c>
      <c r="G8">
        <f>(1-((Table1456789101112131415161718[[#This Row],[Abs 2]]-B1)/B2))*100</f>
        <v>89.20402561756633</v>
      </c>
    </row>
    <row r="12" spans="1:7" x14ac:dyDescent="0.3">
      <c r="A12" t="s">
        <v>7</v>
      </c>
      <c r="B12">
        <f>MEDIAN(Table1456789101112131415161718[Q])</f>
        <v>64.524245196706303</v>
      </c>
      <c r="F12">
        <f>MEDIAN(Table1456789101112131415161718[Q1])</f>
        <v>64.181152790484902</v>
      </c>
      <c r="G12">
        <f>MEDIAN(Table1456789101112131415161718[Q2])</f>
        <v>64.867337602927719</v>
      </c>
    </row>
    <row r="13" spans="1:7" x14ac:dyDescent="0.3">
      <c r="A13" t="s">
        <v>9</v>
      </c>
      <c r="B13">
        <f>((B12/Trolox!C17)-Trolox!D17)*10</f>
        <v>3154.8990926151832</v>
      </c>
      <c r="F13">
        <f>((F12/Trolox!C17)-Trolox!D17)*10</f>
        <v>3137.2293296598</v>
      </c>
      <c r="G13">
        <f>((G12/Trolox!C17)-Trolox!D17)*10</f>
        <v>3172.5688555705674</v>
      </c>
    </row>
    <row r="14" spans="1:7" x14ac:dyDescent="0.3">
      <c r="A14" t="s">
        <v>20</v>
      </c>
      <c r="B14">
        <f>(B13*0.00001*250.29)</f>
        <v>7.896396938906542</v>
      </c>
      <c r="F14">
        <f>(F13*0.00001*250.29)</f>
        <v>7.8521712892055149</v>
      </c>
      <c r="G14">
        <f>(G13*0.00001*250.29)</f>
        <v>7.9406225886075736</v>
      </c>
    </row>
    <row r="15" spans="1:7" x14ac:dyDescent="0.3">
      <c r="A15" t="s">
        <v>21</v>
      </c>
      <c r="B15">
        <v>139.1779410906633</v>
      </c>
      <c r="F15">
        <v>198.57092051771079</v>
      </c>
      <c r="G15">
        <v>200.80773569867861</v>
      </c>
    </row>
    <row r="16" spans="1:7" x14ac:dyDescent="0.3">
      <c r="A16" t="s">
        <v>22</v>
      </c>
      <c r="B16">
        <v>55.606672695938038</v>
      </c>
      <c r="F16">
        <v>55.295234296030188</v>
      </c>
      <c r="G16">
        <v>55.918111095845909</v>
      </c>
    </row>
    <row r="18" spans="6:7" x14ac:dyDescent="0.3">
      <c r="F18" t="s">
        <v>31</v>
      </c>
      <c r="G18">
        <f>STDEV(F15:G15)</f>
        <v>1.5816671827233626</v>
      </c>
    </row>
    <row r="19" spans="6:7" x14ac:dyDescent="0.3">
      <c r="G19">
        <f>STDEV(F16:G16)</f>
        <v>0.44044040899347198</v>
      </c>
    </row>
    <row r="21" spans="6:7" x14ac:dyDescent="0.3">
      <c r="F21" s="1">
        <f>100% -ABS(G16/F16)</f>
        <v>-1.1264565703457796E-2</v>
      </c>
    </row>
  </sheetData>
  <pageMargins left="0.7" right="0.7" top="0.75" bottom="0.75" header="0.3" footer="0.3"/>
  <drawing r:id="rId1"/>
  <tableParts count="1">
    <tablePart r:id="rId2"/>
  </tablePart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677395-BBA1-48AE-9B96-C49F4B1EE6F3}">
  <dimension ref="A1:G21"/>
  <sheetViews>
    <sheetView workbookViewId="0">
      <selection activeCell="G14" sqref="G14"/>
    </sheetView>
  </sheetViews>
  <sheetFormatPr defaultRowHeight="14.4" x14ac:dyDescent="0.3"/>
  <cols>
    <col min="1" max="1" width="14.6640625" customWidth="1"/>
    <col min="2" max="2" width="11" bestFit="1" customWidth="1"/>
    <col min="3" max="3" width="10.44140625" customWidth="1"/>
    <col min="4" max="4" width="9.6640625" customWidth="1"/>
  </cols>
  <sheetData>
    <row r="1" spans="1:7" x14ac:dyDescent="0.3">
      <c r="A1" t="s">
        <v>0</v>
      </c>
      <c r="B1">
        <v>9.7000000000000003E-2</v>
      </c>
    </row>
    <row r="2" spans="1:7" x14ac:dyDescent="0.3">
      <c r="A2" t="s">
        <v>1</v>
      </c>
      <c r="B2">
        <f>1.19-B1</f>
        <v>1.093</v>
      </c>
    </row>
    <row r="4" spans="1:7" x14ac:dyDescent="0.3">
      <c r="A4" t="s">
        <v>6</v>
      </c>
      <c r="B4" t="s">
        <v>3</v>
      </c>
      <c r="C4" t="s">
        <v>4</v>
      </c>
      <c r="D4" t="s">
        <v>2</v>
      </c>
      <c r="E4" t="s">
        <v>5</v>
      </c>
      <c r="F4" t="s">
        <v>28</v>
      </c>
      <c r="G4" t="s">
        <v>30</v>
      </c>
    </row>
    <row r="5" spans="1:7" x14ac:dyDescent="0.3">
      <c r="A5">
        <f>1/100</f>
        <v>0.01</v>
      </c>
      <c r="B5">
        <v>0.59699999999999998</v>
      </c>
      <c r="C5">
        <v>0.47799999999999998</v>
      </c>
      <c r="D5">
        <f>AVERAGE(B5:C5)-B1</f>
        <v>0.4405</v>
      </c>
      <c r="E5">
        <f>(1-(Table145678910111213141516171819[[#This Row],[Average]]/B2))*100</f>
        <v>59.698078682525157</v>
      </c>
      <c r="F5">
        <f>(1-((Table145678910111213141516171819[[#This Row],[Abs 1]]-B1)/B2))*100</f>
        <v>54.254345837145465</v>
      </c>
      <c r="G5">
        <f>(1-((Table145678910111213141516171819[[#This Row],[Abs 2]]-B1)/B2))*100</f>
        <v>65.141811527904849</v>
      </c>
    </row>
    <row r="6" spans="1:7" x14ac:dyDescent="0.3">
      <c r="A6">
        <f>1/50</f>
        <v>0.02</v>
      </c>
      <c r="B6">
        <v>0.39300000000000002</v>
      </c>
      <c r="C6">
        <v>0.31</v>
      </c>
      <c r="D6">
        <f>AVERAGE(B6:C6)-B1</f>
        <v>0.25450000000000006</v>
      </c>
      <c r="E6">
        <f>(1-(Table145678910111213141516171819[[#This Row],[Average]]/B2))*100</f>
        <v>76.715462031107037</v>
      </c>
      <c r="F6">
        <f>(1-((Table145678910111213141516171819[[#This Row],[Abs 1]]-B1)/B2))*100</f>
        <v>72.918572735590118</v>
      </c>
      <c r="G6">
        <f>(1-((Table145678910111213141516171819[[#This Row],[Abs 2]]-B1)/B2))*100</f>
        <v>80.512351326623971</v>
      </c>
    </row>
    <row r="7" spans="1:7" x14ac:dyDescent="0.3">
      <c r="A7">
        <f>1/20</f>
        <v>0.05</v>
      </c>
      <c r="B7">
        <v>0.255</v>
      </c>
      <c r="C7">
        <v>0.26400000000000001</v>
      </c>
      <c r="D7">
        <f>AVERAGE(B7:C7)-B1</f>
        <v>0.16250000000000001</v>
      </c>
      <c r="E7">
        <f>(1-(Table145678910111213141516171819[[#This Row],[Average]]/B2))*100</f>
        <v>85.132662397072281</v>
      </c>
      <c r="F7">
        <f>(1-((Table145678910111213141516171819[[#This Row],[Abs 1]]-B1)/B2))*100</f>
        <v>85.544373284537969</v>
      </c>
      <c r="G7">
        <f>(1-((Table145678910111213141516171819[[#This Row],[Abs 2]]-B1)/B2))*100</f>
        <v>84.720951509606593</v>
      </c>
    </row>
    <row r="8" spans="1:7" x14ac:dyDescent="0.3">
      <c r="A8">
        <f>1/10</f>
        <v>0.1</v>
      </c>
      <c r="B8">
        <v>0.216</v>
      </c>
      <c r="C8">
        <v>0.215</v>
      </c>
      <c r="D8">
        <f>AVERAGE(B8:C8)-B1</f>
        <v>0.11849999999999999</v>
      </c>
      <c r="E8">
        <f>(1-(Table145678910111213141516171819[[#This Row],[Average]]/B2))*100</f>
        <v>89.158279963403473</v>
      </c>
      <c r="F8">
        <f>(1-((Table145678910111213141516171819[[#This Row],[Abs 1]]-B1)/B2))*100</f>
        <v>89.112534309240615</v>
      </c>
      <c r="G8">
        <f>(1-((Table145678910111213141516171819[[#This Row],[Abs 2]]-B1)/B2))*100</f>
        <v>89.20402561756633</v>
      </c>
    </row>
    <row r="12" spans="1:7" x14ac:dyDescent="0.3">
      <c r="A12" t="s">
        <v>7</v>
      </c>
      <c r="B12">
        <f>MEDIAN(Table145678910111213141516171819[Q])</f>
        <v>80.924062214089659</v>
      </c>
      <c r="F12">
        <f>MEDIAN(Table145678910111213141516171819[Q1])</f>
        <v>79.231473010064036</v>
      </c>
      <c r="G12">
        <f>MEDIAN(Table145678910111213141516171819[Q2])</f>
        <v>82.616651418115282</v>
      </c>
    </row>
    <row r="13" spans="1:7" x14ac:dyDescent="0.3">
      <c r="A13" t="s">
        <v>9</v>
      </c>
      <c r="B13">
        <f>((B12/Trolox!C17)-Trolox!D17)*10</f>
        <v>3999.5137618825197</v>
      </c>
      <c r="F13">
        <f>((F12/Trolox!C17)-Trolox!D17)*10</f>
        <v>3912.3429313026272</v>
      </c>
      <c r="G13">
        <f>((G12/Trolox!C17)-Trolox!D17)*10</f>
        <v>4086.6845924624122</v>
      </c>
    </row>
    <row r="14" spans="1:7" x14ac:dyDescent="0.3">
      <c r="A14" t="s">
        <v>20</v>
      </c>
      <c r="B14">
        <f>(B13*0.00001*250.29)</f>
        <v>10.010382994615759</v>
      </c>
      <c r="F14">
        <f>(F13*0.00001*250.29)</f>
        <v>9.7922031227573463</v>
      </c>
      <c r="G14">
        <f>(G13*0.00001*250.29)</f>
        <v>10.228562866474173</v>
      </c>
    </row>
    <row r="15" spans="1:7" x14ac:dyDescent="0.3">
      <c r="A15" t="s">
        <v>21</v>
      </c>
      <c r="B15">
        <v>51.031365385890638</v>
      </c>
      <c r="F15">
        <v>247.63173348693826</v>
      </c>
      <c r="G15">
        <v>258.66668837971287</v>
      </c>
    </row>
    <row r="16" spans="1:7" x14ac:dyDescent="0.3">
      <c r="A16" t="s">
        <v>22</v>
      </c>
      <c r="B16">
        <v>20.388895036114363</v>
      </c>
      <c r="F16">
        <v>19.944511788369823</v>
      </c>
      <c r="G16">
        <v>103.34679307192171</v>
      </c>
    </row>
    <row r="18" spans="6:7" x14ac:dyDescent="0.3">
      <c r="F18" t="s">
        <v>31</v>
      </c>
      <c r="G18">
        <f>STDEV(F15:G15)</f>
        <v>7.802891434768596</v>
      </c>
    </row>
    <row r="19" spans="6:7" x14ac:dyDescent="0.3">
      <c r="G19">
        <f>STDEV(F16:G16)</f>
        <v>58.9743186620274</v>
      </c>
    </row>
    <row r="21" spans="6:7" x14ac:dyDescent="0.3">
      <c r="F21" s="1">
        <f>100% -ABS(G16/F16)</f>
        <v>-4.1817158609109688</v>
      </c>
    </row>
  </sheetData>
  <pageMargins left="0.7" right="0.7" top="0.75" bottom="0.75" header="0.3" footer="0.3"/>
  <drawing r:id="rId1"/>
  <tableParts count="1">
    <tablePart r:id="rId2"/>
  </tablePart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C3F6E6-9B03-42A6-95E4-C1AC7C5704B1}">
  <dimension ref="A1:G21"/>
  <sheetViews>
    <sheetView workbookViewId="0">
      <selection activeCell="G20" sqref="G20"/>
    </sheetView>
  </sheetViews>
  <sheetFormatPr defaultRowHeight="14.4" x14ac:dyDescent="0.3"/>
  <cols>
    <col min="1" max="1" width="14.6640625" customWidth="1"/>
    <col min="2" max="2" width="11" bestFit="1" customWidth="1"/>
    <col min="3" max="3" width="10.44140625" customWidth="1"/>
    <col min="4" max="4" width="9.6640625" customWidth="1"/>
  </cols>
  <sheetData>
    <row r="1" spans="1:7" x14ac:dyDescent="0.3">
      <c r="A1" t="s">
        <v>0</v>
      </c>
      <c r="B1">
        <v>9.7000000000000003E-2</v>
      </c>
    </row>
    <row r="2" spans="1:7" x14ac:dyDescent="0.3">
      <c r="A2" t="s">
        <v>1</v>
      </c>
      <c r="B2">
        <f>1.19-B1</f>
        <v>1.093</v>
      </c>
    </row>
    <row r="4" spans="1:7" x14ac:dyDescent="0.3">
      <c r="A4" t="s">
        <v>6</v>
      </c>
      <c r="B4" t="s">
        <v>3</v>
      </c>
      <c r="C4" t="s">
        <v>4</v>
      </c>
      <c r="D4" t="s">
        <v>2</v>
      </c>
      <c r="E4" t="s">
        <v>5</v>
      </c>
      <c r="F4" t="s">
        <v>28</v>
      </c>
      <c r="G4" t="s">
        <v>30</v>
      </c>
    </row>
    <row r="5" spans="1:7" x14ac:dyDescent="0.3">
      <c r="A5">
        <f>1/100</f>
        <v>0.01</v>
      </c>
      <c r="B5">
        <v>0.751</v>
      </c>
      <c r="C5">
        <v>0.78</v>
      </c>
      <c r="D5">
        <f>AVERAGE(B5:C5)-B1</f>
        <v>0.66850000000000009</v>
      </c>
      <c r="E5">
        <f>(1-(Table14567891011121314151617181920[[#This Row],[Average]]/B2))*100</f>
        <v>38.838060384263486</v>
      </c>
      <c r="F5">
        <f>(1-((Table14567891011121314151617181920[[#This Row],[Abs 1]]-B1)/B2))*100</f>
        <v>40.164684354986271</v>
      </c>
      <c r="G5">
        <f>(1-((Table14567891011121314151617181920[[#This Row],[Abs 2]]-B1)/B2))*100</f>
        <v>37.511436413540707</v>
      </c>
    </row>
    <row r="6" spans="1:7" x14ac:dyDescent="0.3">
      <c r="A6">
        <f>1/50</f>
        <v>0.02</v>
      </c>
      <c r="B6">
        <v>0.68500000000000005</v>
      </c>
      <c r="C6">
        <v>0.68799999999999994</v>
      </c>
      <c r="D6">
        <f>AVERAGE(B6:C6)-B1</f>
        <v>0.58950000000000002</v>
      </c>
      <c r="E6">
        <f>(1-(Table14567891011121314151617181920[[#This Row],[Average]]/B2))*100</f>
        <v>46.065873741994508</v>
      </c>
      <c r="F6">
        <f>(1-((Table14567891011121314151617181920[[#This Row],[Abs 1]]-B1)/B2))*100</f>
        <v>46.203110704483066</v>
      </c>
      <c r="G6">
        <f>(1-((Table14567891011121314151617181920[[#This Row],[Abs 2]]-B1)/B2))*100</f>
        <v>45.92863677950595</v>
      </c>
    </row>
    <row r="7" spans="1:7" x14ac:dyDescent="0.3">
      <c r="A7">
        <f>1/20</f>
        <v>0.05</v>
      </c>
      <c r="B7">
        <v>0.29199999999999998</v>
      </c>
      <c r="C7">
        <v>0.28199999999999997</v>
      </c>
      <c r="D7">
        <f>AVERAGE(B7:C7)-B1</f>
        <v>0.18999999999999997</v>
      </c>
      <c r="E7">
        <f>(1-(Table14567891011121314151617181920[[#This Row],[Average]]/B2))*100</f>
        <v>82.616651418115282</v>
      </c>
      <c r="F7">
        <f>(1-((Table14567891011121314151617181920[[#This Row],[Abs 1]]-B1)/B2))*100</f>
        <v>82.159194876486737</v>
      </c>
      <c r="G7">
        <f>(1-((Table14567891011121314151617181920[[#This Row],[Abs 2]]-B1)/B2))*100</f>
        <v>83.074107959743827</v>
      </c>
    </row>
    <row r="8" spans="1:7" x14ac:dyDescent="0.3">
      <c r="A8">
        <f>1/10</f>
        <v>0.1</v>
      </c>
      <c r="B8">
        <v>0.20899999999999999</v>
      </c>
      <c r="C8">
        <v>0.215</v>
      </c>
      <c r="D8">
        <f>AVERAGE(B8:C8)-B1</f>
        <v>0.11499999999999999</v>
      </c>
      <c r="E8">
        <f>(1-(Table14567891011121314151617181920[[#This Row],[Average]]/B2))*100</f>
        <v>89.47849954254346</v>
      </c>
      <c r="F8">
        <f>(1-((Table14567891011121314151617181920[[#This Row],[Abs 1]]-B1)/B2))*100</f>
        <v>89.752973467520576</v>
      </c>
      <c r="G8">
        <f>(1-((Table14567891011121314151617181920[[#This Row],[Abs 2]]-B1)/B2))*100</f>
        <v>89.20402561756633</v>
      </c>
    </row>
    <row r="12" spans="1:7" x14ac:dyDescent="0.3">
      <c r="A12" t="s">
        <v>7</v>
      </c>
      <c r="B12">
        <f>MEDIAN(Table14567891011121314151617181920[Q])</f>
        <v>64.341262580054888</v>
      </c>
      <c r="F12">
        <f>MEDIAN(Table14567891011121314151617181920[Q1])</f>
        <v>64.181152790484902</v>
      </c>
      <c r="G12">
        <f>MEDIAN(Table14567891011121314151617181920[Q2])</f>
        <v>64.501372369624889</v>
      </c>
    </row>
    <row r="13" spans="1:7" x14ac:dyDescent="0.3">
      <c r="A13" t="s">
        <v>9</v>
      </c>
      <c r="B13">
        <f>((B12/Trolox!C17)-Trolox!D17)*10</f>
        <v>3145.475219038979</v>
      </c>
      <c r="F13">
        <f>((F12/Trolox!C17)-Trolox!D17)*10</f>
        <v>3137.2293296598</v>
      </c>
      <c r="G13">
        <f>((G12/Trolox!C17)-Trolox!D17)*10</f>
        <v>3153.7211084181586</v>
      </c>
    </row>
    <row r="14" spans="1:7" x14ac:dyDescent="0.3">
      <c r="A14" t="s">
        <v>20</v>
      </c>
      <c r="B14">
        <f>(B13*0.00001*250.29)</f>
        <v>7.8728099257326605</v>
      </c>
      <c r="F14">
        <f>(F13*0.00001*250.29)</f>
        <v>7.8521712892055149</v>
      </c>
      <c r="G14">
        <f>(G13*0.00001*250.29)</f>
        <v>7.8934485622598096</v>
      </c>
    </row>
    <row r="15" spans="1:7" x14ac:dyDescent="0.3">
      <c r="A15" t="s">
        <v>21</v>
      </c>
      <c r="B15">
        <v>138.12716867302518</v>
      </c>
      <c r="F15">
        <v>198.57092051771079</v>
      </c>
      <c r="G15">
        <v>199.61476760216246</v>
      </c>
    </row>
    <row r="16" spans="1:7" x14ac:dyDescent="0.3">
      <c r="A16" t="s">
        <v>22</v>
      </c>
      <c r="B16">
        <v>55.186850722372121</v>
      </c>
      <c r="F16">
        <v>55.042177935415324</v>
      </c>
      <c r="G16">
        <v>55.331523509328946</v>
      </c>
    </row>
    <row r="18" spans="6:7" x14ac:dyDescent="0.3">
      <c r="F18" t="s">
        <v>31</v>
      </c>
      <c r="G18">
        <f>STDEV(F15:G15)</f>
        <v>0.7381113519375827</v>
      </c>
    </row>
    <row r="19" spans="6:7" x14ac:dyDescent="0.3">
      <c r="G19">
        <f>STDEV(F16:G16)</f>
        <v>0.20459821742063516</v>
      </c>
    </row>
    <row r="21" spans="6:7" x14ac:dyDescent="0.3">
      <c r="F21" s="1">
        <f>100% -ABS(G16/F16)</f>
        <v>-5.2567973282802161E-3</v>
      </c>
    </row>
  </sheetData>
  <pageMargins left="0.7" right="0.7" top="0.75" bottom="0.75" header="0.3" footer="0.3"/>
  <drawing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670466-A66A-4301-9563-584469D1A7EA}">
  <dimension ref="A1:G19"/>
  <sheetViews>
    <sheetView workbookViewId="0">
      <selection activeCell="F14" sqref="F14"/>
    </sheetView>
  </sheetViews>
  <sheetFormatPr defaultRowHeight="14.4" x14ac:dyDescent="0.3"/>
  <cols>
    <col min="1" max="1" width="14.6640625" customWidth="1"/>
    <col min="2" max="2" width="11" bestFit="1" customWidth="1"/>
    <col min="3" max="3" width="10.44140625" customWidth="1"/>
    <col min="4" max="4" width="9.6640625" customWidth="1"/>
    <col min="5" max="5" width="12.44140625" customWidth="1"/>
  </cols>
  <sheetData>
    <row r="1" spans="1:7" x14ac:dyDescent="0.3">
      <c r="A1" t="s">
        <v>0</v>
      </c>
      <c r="B1">
        <v>9.7000000000000003E-2</v>
      </c>
    </row>
    <row r="2" spans="1:7" x14ac:dyDescent="0.3">
      <c r="A2" t="s">
        <v>1</v>
      </c>
      <c r="B2">
        <f>1.19-B1</f>
        <v>1.093</v>
      </c>
    </row>
    <row r="4" spans="1:7" x14ac:dyDescent="0.3">
      <c r="A4" t="s">
        <v>6</v>
      </c>
      <c r="B4" t="s">
        <v>3</v>
      </c>
      <c r="C4" t="s">
        <v>4</v>
      </c>
      <c r="D4" t="s">
        <v>2</v>
      </c>
      <c r="E4" t="s">
        <v>29</v>
      </c>
      <c r="F4" t="s">
        <v>28</v>
      </c>
      <c r="G4" t="s">
        <v>30</v>
      </c>
    </row>
    <row r="5" spans="1:7" x14ac:dyDescent="0.3">
      <c r="A5">
        <f>1/100</f>
        <v>0.01</v>
      </c>
      <c r="B5">
        <v>0.86599999999999999</v>
      </c>
      <c r="C5">
        <v>0.86599999999999999</v>
      </c>
      <c r="D5">
        <f>AVERAGE(B5:C5)-B1</f>
        <v>0.76900000000000002</v>
      </c>
      <c r="E5">
        <f>(1-(Table1[[#This Row],[Average]]/B2))*100</f>
        <v>29.643183897529735</v>
      </c>
      <c r="F5">
        <f>(1-((Table1[[#This Row],[Abs 1]]-B1)/B2))*100</f>
        <v>29.643183897529735</v>
      </c>
      <c r="G5">
        <f>(1-((Table1[[#This Row],[Abs 2]]-B1)/B2))*100</f>
        <v>29.643183897529735</v>
      </c>
    </row>
    <row r="6" spans="1:7" x14ac:dyDescent="0.3">
      <c r="A6">
        <f>1/50</f>
        <v>0.02</v>
      </c>
      <c r="B6">
        <v>0.81200000000000006</v>
      </c>
      <c r="C6">
        <v>0.79400000000000004</v>
      </c>
      <c r="D6">
        <f>AVERAGE(B6:C6)-B1</f>
        <v>0.70600000000000007</v>
      </c>
      <c r="E6">
        <f>(1-(Table1[[#This Row],[Average]]/B2))*100</f>
        <v>35.407136322049396</v>
      </c>
      <c r="F6">
        <f>(1-((Table1[[#This Row],[Abs 1]]-B1)/B2))*100</f>
        <v>34.583714547118014</v>
      </c>
      <c r="G6">
        <f>(1-((Table1[[#This Row],[Abs 2]]-B1)/B2))*100</f>
        <v>36.230558096980779</v>
      </c>
    </row>
    <row r="7" spans="1:7" x14ac:dyDescent="0.3">
      <c r="A7">
        <f>1/20</f>
        <v>0.05</v>
      </c>
      <c r="B7">
        <v>0.52</v>
      </c>
      <c r="C7">
        <v>0.58599999999999997</v>
      </c>
      <c r="D7">
        <f>AVERAGE(B7:C7)-B1</f>
        <v>0.45599999999999996</v>
      </c>
      <c r="E7">
        <f>(1-(Table1[[#This Row],[Average]]/B2))*100</f>
        <v>58.279963403476678</v>
      </c>
      <c r="F7">
        <f>(1-((Table1[[#This Row],[Abs 1]]-B1)/B2))*100</f>
        <v>61.299176578225058</v>
      </c>
      <c r="G7">
        <f>(1-((Table1[[#This Row],[Abs 2]]-B1)/B2))*100</f>
        <v>55.26075022872827</v>
      </c>
    </row>
    <row r="8" spans="1:7" x14ac:dyDescent="0.3">
      <c r="A8">
        <f>1/10</f>
        <v>0.1</v>
      </c>
      <c r="B8">
        <v>0.23100000000000001</v>
      </c>
      <c r="C8">
        <v>0.23400000000000001</v>
      </c>
      <c r="D8">
        <f>AVERAGE(B8:C8)-B1</f>
        <v>0.13550000000000001</v>
      </c>
      <c r="E8">
        <f>(1-(Table1[[#This Row],[Average]]/B2))*100</f>
        <v>87.602927721866422</v>
      </c>
      <c r="F8">
        <f>(1-((Table1[[#This Row],[Abs 1]]-B1)/B2))*100</f>
        <v>87.74016468435498</v>
      </c>
      <c r="G8">
        <f>(1-((Table1[[#This Row],[Abs 2]]-B1)/B2))*100</f>
        <v>87.46569075937785</v>
      </c>
    </row>
    <row r="12" spans="1:7" x14ac:dyDescent="0.3">
      <c r="A12" t="s">
        <v>7</v>
      </c>
      <c r="B12">
        <f>MEDIAN(Table1[Qaverage])</f>
        <v>46.843549862763041</v>
      </c>
      <c r="F12">
        <f>MEDIAN(Table1[Q1])</f>
        <v>47.941445562671532</v>
      </c>
      <c r="G12">
        <f>MEDIAN(Table1[Q2])</f>
        <v>45.745654162854521</v>
      </c>
    </row>
    <row r="13" spans="1:7" x14ac:dyDescent="0.3">
      <c r="A13" t="s">
        <v>9</v>
      </c>
      <c r="B13">
        <f>(B12/Trolox!C17)-Trolox!D17</f>
        <v>224.43173083144154</v>
      </c>
      <c r="F13">
        <f>((F12/Trolox!C17)-Trolox!D17)*10</f>
        <v>2300.8605497716421</v>
      </c>
      <c r="G13">
        <f>((G12/Trolox!C17)-Trolox!D17)*10</f>
        <v>2187.7740668571873</v>
      </c>
    </row>
    <row r="14" spans="1:7" x14ac:dyDescent="0.3">
      <c r="A14" t="s">
        <v>20</v>
      </c>
      <c r="B14">
        <f>(B13*0.00001*250.29)*10</f>
        <v>5.6173017909801501</v>
      </c>
      <c r="F14">
        <f>(F13*0.00001*250.29)*10</f>
        <v>57.588238700234427</v>
      </c>
      <c r="G14">
        <f>(G13*0.00001*250.29)</f>
        <v>5.4757797119368545</v>
      </c>
    </row>
    <row r="15" spans="1:7" x14ac:dyDescent="0.3">
      <c r="A15" t="s">
        <v>21</v>
      </c>
      <c r="B15">
        <v>142.0540569452572</v>
      </c>
      <c r="F15">
        <v>1456.3296123480568</v>
      </c>
      <c r="G15">
        <v>138.47515265570868</v>
      </c>
    </row>
    <row r="16" spans="1:7" x14ac:dyDescent="0.3">
      <c r="A16" t="s">
        <v>22</v>
      </c>
      <c r="B16">
        <v>56.755786066266019</v>
      </c>
      <c r="F16">
        <v>58.185689094572574</v>
      </c>
      <c r="G16">
        <v>55.325883037959443</v>
      </c>
    </row>
    <row r="18" spans="6:7" x14ac:dyDescent="0.3">
      <c r="F18" t="s">
        <v>31</v>
      </c>
      <c r="G18">
        <f>STDEV(F15:G15)</f>
        <v>931.86382506539303</v>
      </c>
    </row>
    <row r="19" spans="6:7" x14ac:dyDescent="0.3">
      <c r="G19">
        <f>STDEV(F16:G16)</f>
        <v>2.0221882555095045</v>
      </c>
    </row>
  </sheetData>
  <pageMargins left="0.7" right="0.7" top="0.75" bottom="0.75" header="0.3" footer="0.3"/>
  <drawing r:id="rId1"/>
  <tableParts count="1">
    <tablePart r:id="rId2"/>
  </tablePart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651142-CE4C-4FBD-A745-2FB4D9C32CFB}">
  <dimension ref="A1:G21"/>
  <sheetViews>
    <sheetView workbookViewId="0">
      <selection activeCell="G14" sqref="G14"/>
    </sheetView>
  </sheetViews>
  <sheetFormatPr defaultRowHeight="14.4" x14ac:dyDescent="0.3"/>
  <cols>
    <col min="1" max="1" width="14.6640625" customWidth="1"/>
    <col min="2" max="2" width="11" bestFit="1" customWidth="1"/>
    <col min="3" max="3" width="10.44140625" customWidth="1"/>
    <col min="4" max="4" width="9.6640625" customWidth="1"/>
  </cols>
  <sheetData>
    <row r="1" spans="1:7" x14ac:dyDescent="0.3">
      <c r="A1" t="s">
        <v>0</v>
      </c>
      <c r="B1">
        <v>9.7000000000000003E-2</v>
      </c>
    </row>
    <row r="2" spans="1:7" x14ac:dyDescent="0.3">
      <c r="A2" t="s">
        <v>1</v>
      </c>
      <c r="B2">
        <f>1.19-B1</f>
        <v>1.093</v>
      </c>
    </row>
    <row r="4" spans="1:7" x14ac:dyDescent="0.3">
      <c r="A4" t="s">
        <v>6</v>
      </c>
      <c r="B4" t="s">
        <v>3</v>
      </c>
      <c r="C4" t="s">
        <v>4</v>
      </c>
      <c r="D4" t="s">
        <v>2</v>
      </c>
      <c r="E4" t="s">
        <v>5</v>
      </c>
      <c r="F4" t="s">
        <v>28</v>
      </c>
      <c r="G4" t="s">
        <v>30</v>
      </c>
    </row>
    <row r="5" spans="1:7" x14ac:dyDescent="0.3">
      <c r="A5">
        <f>1/100</f>
        <v>0.01</v>
      </c>
      <c r="B5">
        <v>1.02</v>
      </c>
      <c r="C5">
        <v>0.997</v>
      </c>
      <c r="D5">
        <f>AVERAGE(B5:C5)-B1</f>
        <v>0.91149999999999998</v>
      </c>
      <c r="E5">
        <f>(1-(Table1456789101112131415161718192021[[#This Row],[Average]]/B2))*100</f>
        <v>16.605672461116193</v>
      </c>
      <c r="F5">
        <f>(1-((Table1456789101112131415161718192021[[#This Row],[Abs 1]]-B1)/B2))*100</f>
        <v>15.553522415370535</v>
      </c>
      <c r="G5">
        <f>(1-((Table1456789101112131415161718192021[[#This Row],[Abs 2]]-B1)/B2))*100</f>
        <v>17.657822506861841</v>
      </c>
    </row>
    <row r="6" spans="1:7" x14ac:dyDescent="0.3">
      <c r="A6">
        <f>1/50</f>
        <v>0.02</v>
      </c>
      <c r="B6">
        <v>0.90400000000000003</v>
      </c>
      <c r="C6">
        <v>0.88700000000000001</v>
      </c>
      <c r="D6">
        <f>AVERAGE(B6:C6)-B1</f>
        <v>0.79849999999999999</v>
      </c>
      <c r="E6">
        <f>(1-(Table1456789101112131415161718192021[[#This Row],[Average]]/B2))*100</f>
        <v>26.94419030192131</v>
      </c>
      <c r="F6">
        <f>(1-((Table1456789101112131415161718192021[[#This Row],[Abs 1]]-B1)/B2))*100</f>
        <v>26.166514181152788</v>
      </c>
      <c r="G6">
        <f>(1-((Table1456789101112131415161718192021[[#This Row],[Abs 2]]-B1)/B2))*100</f>
        <v>27.721866422689846</v>
      </c>
    </row>
    <row r="7" spans="1:7" x14ac:dyDescent="0.3">
      <c r="A7">
        <f>1/20</f>
        <v>0.05</v>
      </c>
      <c r="B7">
        <v>0.63</v>
      </c>
      <c r="C7">
        <v>0.61699999999999999</v>
      </c>
      <c r="D7">
        <f>AVERAGE(B7:C7)-B1</f>
        <v>0.52649999999999997</v>
      </c>
      <c r="E7">
        <f>(1-(Table1456789101112131415161718192021[[#This Row],[Average]]/B2))*100</f>
        <v>51.829826166514181</v>
      </c>
      <c r="F7">
        <f>(1-((Table1456789101112131415161718192021[[#This Row],[Abs 1]]-B1)/B2))*100</f>
        <v>51.235132662397078</v>
      </c>
      <c r="G7">
        <f>(1-((Table1456789101112131415161718192021[[#This Row],[Abs 2]]-B1)/B2))*100</f>
        <v>52.424519670631284</v>
      </c>
    </row>
    <row r="8" spans="1:7" x14ac:dyDescent="0.3">
      <c r="A8">
        <f>1/10</f>
        <v>0.1</v>
      </c>
      <c r="B8">
        <v>0.29599999999999999</v>
      </c>
      <c r="C8">
        <v>0.34200000000000003</v>
      </c>
      <c r="D8">
        <f>AVERAGE(B8:C8)-B1</f>
        <v>0.222</v>
      </c>
      <c r="E8">
        <f>(1-(Table1456789101112131415161718192021[[#This Row],[Average]]/B2))*100</f>
        <v>79.688929551692596</v>
      </c>
      <c r="F8">
        <f>(1-((Table1456789101112131415161718192021[[#This Row],[Abs 1]]-B1)/B2))*100</f>
        <v>81.793229643183892</v>
      </c>
      <c r="G8">
        <f>(1-((Table1456789101112131415161718192021[[#This Row],[Abs 2]]-B1)/B2))*100</f>
        <v>77.584629460201285</v>
      </c>
    </row>
    <row r="12" spans="1:7" x14ac:dyDescent="0.3">
      <c r="A12" t="s">
        <v>7</v>
      </c>
      <c r="B12">
        <f>MEDIAN(Table1456789101112131415161718192021[Q])</f>
        <v>39.387008234217745</v>
      </c>
      <c r="F12">
        <f>MEDIAN(Table1456789101112131415161718192021[Q1])</f>
        <v>38.700823421774935</v>
      </c>
      <c r="G12">
        <f>MEDIAN(Table1456789101112131415161718192021[Q2])</f>
        <v>40.073193046660563</v>
      </c>
    </row>
    <row r="13" spans="1:7" x14ac:dyDescent="0.3">
      <c r="A13" t="s">
        <v>9</v>
      </c>
      <c r="B13">
        <f>((B12/Trolox!C17)-Trolox!D17)*10</f>
        <v>1860.2944600840783</v>
      </c>
      <c r="F13">
        <f>((F12/Trolox!C17)-Trolox!D17)*10</f>
        <v>1824.9549341733114</v>
      </c>
      <c r="G13">
        <f>((G12/Trolox!C17)-Trolox!D17)*10</f>
        <v>1895.6339859948455</v>
      </c>
    </row>
    <row r="14" spans="1:7" x14ac:dyDescent="0.3">
      <c r="A14" t="s">
        <v>20</v>
      </c>
      <c r="B14">
        <f>(B13*0.00001*250.29)</f>
        <v>4.6561310041444397</v>
      </c>
      <c r="F14">
        <f>(F13*0.00001*250.29)</f>
        <v>4.5676797047423809</v>
      </c>
      <c r="G14">
        <f>(G13*0.00001*250.29)</f>
        <v>4.7445823035464985</v>
      </c>
    </row>
    <row r="15" spans="1:7" x14ac:dyDescent="0.3">
      <c r="A15" t="s">
        <v>21</v>
      </c>
      <c r="B15">
        <v>140.18286779291006</v>
      </c>
      <c r="F15">
        <v>115.51051679777244</v>
      </c>
      <c r="G15">
        <v>119.98414715970804</v>
      </c>
    </row>
    <row r="16" spans="1:7" x14ac:dyDescent="0.3">
      <c r="A16" t="s">
        <v>22</v>
      </c>
      <c r="B16">
        <v>56.008177631111934</v>
      </c>
      <c r="F16">
        <v>54.944204971364258</v>
      </c>
      <c r="G16">
        <v>57.072150290859611</v>
      </c>
    </row>
    <row r="18" spans="6:7" x14ac:dyDescent="0.3">
      <c r="F18" t="s">
        <v>31</v>
      </c>
      <c r="G18">
        <f>STDEV(F15:G15)</f>
        <v>3.1633343654466954</v>
      </c>
    </row>
    <row r="19" spans="6:7" x14ac:dyDescent="0.3">
      <c r="G19">
        <f>STDEV(F16:G16)</f>
        <v>1.5046845654093388</v>
      </c>
    </row>
    <row r="21" spans="6:7" x14ac:dyDescent="0.3">
      <c r="F21" s="1">
        <f>100% -ABS(G16/F16)</f>
        <v>-3.8729203937055701E-2</v>
      </c>
    </row>
  </sheetData>
  <pageMargins left="0.7" right="0.7" top="0.75" bottom="0.75" header="0.3" footer="0.3"/>
  <drawing r:id="rId1"/>
  <tableParts count="1">
    <tablePart r:id="rId2"/>
  </tablePart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53B57B-3EDB-423B-B658-4527251F9A21}">
  <dimension ref="A1:G20"/>
  <sheetViews>
    <sheetView workbookViewId="0">
      <selection activeCell="G14" sqref="G14"/>
    </sheetView>
  </sheetViews>
  <sheetFormatPr defaultRowHeight="14.4" x14ac:dyDescent="0.3"/>
  <cols>
    <col min="1" max="1" width="14.6640625" customWidth="1"/>
    <col min="2" max="2" width="11" bestFit="1" customWidth="1"/>
    <col min="3" max="3" width="10.44140625" customWidth="1"/>
    <col min="4" max="4" width="9.6640625" customWidth="1"/>
  </cols>
  <sheetData>
    <row r="1" spans="1:7" x14ac:dyDescent="0.3">
      <c r="A1" t="s">
        <v>0</v>
      </c>
      <c r="B1">
        <v>9.7000000000000003E-2</v>
      </c>
    </row>
    <row r="2" spans="1:7" x14ac:dyDescent="0.3">
      <c r="A2" t="s">
        <v>1</v>
      </c>
      <c r="B2">
        <f>1.19-B1</f>
        <v>1.093</v>
      </c>
    </row>
    <row r="4" spans="1:7" x14ac:dyDescent="0.3">
      <c r="A4" t="s">
        <v>6</v>
      </c>
      <c r="B4" t="s">
        <v>3</v>
      </c>
      <c r="C4" t="s">
        <v>4</v>
      </c>
      <c r="D4" t="s">
        <v>2</v>
      </c>
      <c r="E4" t="s">
        <v>5</v>
      </c>
      <c r="F4" t="s">
        <v>28</v>
      </c>
      <c r="G4" t="s">
        <v>30</v>
      </c>
    </row>
    <row r="5" spans="1:7" x14ac:dyDescent="0.3">
      <c r="A5">
        <f>1/100</f>
        <v>0.01</v>
      </c>
      <c r="B5">
        <v>0.74399999999999999</v>
      </c>
      <c r="C5">
        <v>0.77300000000000002</v>
      </c>
      <c r="D5">
        <f>AVERAGE(B5:C5)-B1</f>
        <v>0.66149999999999998</v>
      </c>
      <c r="E5">
        <f>(1-(Table145678910111213141516171819202122[[#This Row],[Average]]/B2))*100</f>
        <v>39.478499542543453</v>
      </c>
      <c r="F5">
        <f>(1-((Table145678910111213141516171819202122[[#This Row],[Abs 1]]-B1)/B2))*100</f>
        <v>40.805123513266238</v>
      </c>
      <c r="G5">
        <f>(1-((Table145678910111213141516171819202122[[#This Row],[Abs 2]]-B1)/B2))*100</f>
        <v>38.151875571820668</v>
      </c>
    </row>
    <row r="6" spans="1:7" x14ac:dyDescent="0.3">
      <c r="A6">
        <f>1/50</f>
        <v>0.02</v>
      </c>
      <c r="B6">
        <v>0.61</v>
      </c>
      <c r="C6">
        <v>0.63300000000000001</v>
      </c>
      <c r="D6">
        <f>AVERAGE(B6:C6)-B1</f>
        <v>0.52449999999999997</v>
      </c>
      <c r="E6">
        <f>(1-(Table145678910111213141516171819202122[[#This Row],[Average]]/B2))*100</f>
        <v>52.01280878316561</v>
      </c>
      <c r="F6">
        <f>(1-((Table145678910111213141516171819202122[[#This Row],[Abs 1]]-B1)/B2))*100</f>
        <v>53.064958828911244</v>
      </c>
      <c r="G6">
        <f>(1-((Table145678910111213141516171819202122[[#This Row],[Abs 2]]-B1)/B2))*100</f>
        <v>50.960658737419941</v>
      </c>
    </row>
    <row r="7" spans="1:7" x14ac:dyDescent="0.3">
      <c r="A7">
        <f>1/20</f>
        <v>0.05</v>
      </c>
      <c r="B7">
        <v>0.28999999999999998</v>
      </c>
      <c r="C7">
        <v>0.219</v>
      </c>
      <c r="D7">
        <f>AVERAGE(B7:C7)-B1</f>
        <v>0.1575</v>
      </c>
      <c r="E7">
        <f>(1-(Table145678910111213141516171819202122[[#This Row],[Average]]/B2))*100</f>
        <v>85.590118938700826</v>
      </c>
      <c r="F7">
        <f>(1-((Table145678910111213141516171819202122[[#This Row],[Abs 1]]-B1)/B2))*100</f>
        <v>82.342177493138152</v>
      </c>
      <c r="G7">
        <f>(1-((Table145678910111213141516171819202122[[#This Row],[Abs 2]]-B1)/B2))*100</f>
        <v>88.8380603842635</v>
      </c>
    </row>
    <row r="8" spans="1:7" x14ac:dyDescent="0.3">
      <c r="A8">
        <f>1/10</f>
        <v>0.1</v>
      </c>
      <c r="B8">
        <v>0.22500000000000001</v>
      </c>
      <c r="C8">
        <v>0.217</v>
      </c>
      <c r="D8">
        <f>AVERAGE(B8:C8)-B1</f>
        <v>0.124</v>
      </c>
      <c r="E8">
        <f>(1-(Table145678910111213141516171819202122[[#This Row],[Average]]/B2))*100</f>
        <v>88.655077767612084</v>
      </c>
      <c r="F8">
        <f>(1-((Table145678910111213141516171819202122[[#This Row],[Abs 1]]-B1)/B2))*100</f>
        <v>88.28911253430924</v>
      </c>
      <c r="G8">
        <f>(1-((Table145678910111213141516171819202122[[#This Row],[Abs 2]]-B1)/B2))*100</f>
        <v>89.021043000914915</v>
      </c>
    </row>
    <row r="12" spans="1:7" x14ac:dyDescent="0.3">
      <c r="A12" t="s">
        <v>7</v>
      </c>
      <c r="B12">
        <f>MEDIAN(Table145678910111213141516171819202122[Q])</f>
        <v>68.801463860933211</v>
      </c>
      <c r="F12">
        <f>MEDIAN(Table145678910111213141516171819202122[Q1])</f>
        <v>67.703568161024691</v>
      </c>
      <c r="G12">
        <f>MEDIAN(Table145678910111213141516171819202122[Q2])</f>
        <v>69.899359560841717</v>
      </c>
    </row>
    <row r="13" spans="1:7" x14ac:dyDescent="0.3">
      <c r="A13" t="s">
        <v>9</v>
      </c>
      <c r="B13">
        <f>((B12/Trolox!C17)-Trolox!D17)*10</f>
        <v>3375.1821374589663</v>
      </c>
      <c r="F13">
        <f>((F12/Trolox!C17)-Trolox!D17)*10</f>
        <v>3318.6388960017384</v>
      </c>
      <c r="G13">
        <f>((G12/Trolox!C17)-Trolox!D17)*10</f>
        <v>3431.7253789161937</v>
      </c>
    </row>
    <row r="14" spans="1:7" x14ac:dyDescent="0.3">
      <c r="A14" t="s">
        <v>20</v>
      </c>
      <c r="B14">
        <f>(B13*0.00001*250.29)</f>
        <v>8.4477433718460464</v>
      </c>
      <c r="F14">
        <f>(F13*0.00001*250.29)</f>
        <v>8.3062212928027517</v>
      </c>
      <c r="G14">
        <f>(G13*0.00001*250.29)</f>
        <v>8.5892654508893411</v>
      </c>
    </row>
    <row r="15" spans="1:7" x14ac:dyDescent="0.3">
      <c r="A15" t="s">
        <v>21</v>
      </c>
      <c r="B15">
        <v>147.88419433277949</v>
      </c>
      <c r="F15">
        <v>210.05323844667893</v>
      </c>
      <c r="G15">
        <v>217.21104702577594</v>
      </c>
    </row>
    <row r="16" spans="1:7" x14ac:dyDescent="0.3">
      <c r="A16" t="s">
        <v>22</v>
      </c>
      <c r="B16">
        <v>59.085138971904392</v>
      </c>
      <c r="F16">
        <v>58.095306381140134</v>
      </c>
      <c r="G16">
        <v>103.3194952345588</v>
      </c>
    </row>
    <row r="18" spans="6:7" x14ac:dyDescent="0.3">
      <c r="F18" t="s">
        <v>31</v>
      </c>
      <c r="G18">
        <f>STDEV(F15:G15)</f>
        <v>5.0613349847147404</v>
      </c>
    </row>
    <row r="19" spans="6:7" x14ac:dyDescent="0.3">
      <c r="G19">
        <f>STDEV(F16:G16)</f>
        <v>31.978330611913425</v>
      </c>
    </row>
    <row r="20" spans="6:7" x14ac:dyDescent="0.3">
      <c r="F20" s="1">
        <f>100% -ABS(G15/F15)</f>
        <v>-3.4076163890774724E-2</v>
      </c>
    </row>
  </sheetData>
  <pageMargins left="0.7" right="0.7" top="0.75" bottom="0.75" header="0.3" footer="0.3"/>
  <drawing r:id="rId1"/>
  <tableParts count="1">
    <tablePart r:id="rId2"/>
  </tablePart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9D5E35-E338-49AE-988B-AA6FDA0345AC}">
  <dimension ref="A1:G21"/>
  <sheetViews>
    <sheetView workbookViewId="0">
      <selection activeCell="G14" sqref="G14"/>
    </sheetView>
  </sheetViews>
  <sheetFormatPr defaultRowHeight="14.4" x14ac:dyDescent="0.3"/>
  <cols>
    <col min="1" max="1" width="14.6640625" customWidth="1"/>
    <col min="2" max="2" width="11" bestFit="1" customWidth="1"/>
    <col min="3" max="3" width="10.44140625" customWidth="1"/>
    <col min="4" max="4" width="9.6640625" customWidth="1"/>
  </cols>
  <sheetData>
    <row r="1" spans="1:7" x14ac:dyDescent="0.3">
      <c r="A1" t="s">
        <v>0</v>
      </c>
      <c r="B1">
        <v>9.7000000000000003E-2</v>
      </c>
    </row>
    <row r="2" spans="1:7" x14ac:dyDescent="0.3">
      <c r="A2" t="s">
        <v>1</v>
      </c>
      <c r="B2">
        <f>1.19-B1</f>
        <v>1.093</v>
      </c>
    </row>
    <row r="4" spans="1:7" x14ac:dyDescent="0.3">
      <c r="A4" t="s">
        <v>6</v>
      </c>
      <c r="B4" t="s">
        <v>3</v>
      </c>
      <c r="C4" t="s">
        <v>4</v>
      </c>
      <c r="D4" t="s">
        <v>2</v>
      </c>
      <c r="E4" t="s">
        <v>5</v>
      </c>
      <c r="F4" t="s">
        <v>28</v>
      </c>
      <c r="G4" t="s">
        <v>30</v>
      </c>
    </row>
    <row r="5" spans="1:7" x14ac:dyDescent="0.3">
      <c r="A5">
        <f>1/100</f>
        <v>0.01</v>
      </c>
      <c r="B5">
        <v>1.06</v>
      </c>
      <c r="C5">
        <v>0.92700000000000005</v>
      </c>
      <c r="D5">
        <f>AVERAGE(B5:C5)-B1</f>
        <v>0.89650000000000007</v>
      </c>
      <c r="E5">
        <f>(1-(Table14567891011121314151617181920212223[[#This Row],[Average]]/B2))*100</f>
        <v>17.978042086001821</v>
      </c>
      <c r="F5">
        <f>(1-((Table14567891011121314151617181920212223[[#This Row],[Abs 1]]-B1)/B2))*100</f>
        <v>11.893870082342172</v>
      </c>
      <c r="G5">
        <f>(1-((Table14567891011121314151617181920212223[[#This Row],[Abs 2]]-B1)/B2))*100</f>
        <v>24.06221408966147</v>
      </c>
    </row>
    <row r="6" spans="1:7" x14ac:dyDescent="0.3">
      <c r="A6">
        <f>1/50</f>
        <v>0.02</v>
      </c>
      <c r="B6">
        <v>0.80600000000000005</v>
      </c>
      <c r="C6">
        <v>0.79300000000000004</v>
      </c>
      <c r="D6">
        <f>AVERAGE(B6:C6)-B1</f>
        <v>0.70250000000000012</v>
      </c>
      <c r="E6">
        <f>(1-(Table14567891011121314151617181920212223[[#This Row],[Average]]/B2))*100</f>
        <v>35.72735590118937</v>
      </c>
      <c r="F6">
        <f>(1-((Table14567891011121314151617181920212223[[#This Row],[Abs 1]]-B1)/B2))*100</f>
        <v>35.132662397072266</v>
      </c>
      <c r="G6">
        <f>(1-((Table14567891011121314151617181920212223[[#This Row],[Abs 2]]-B1)/B2))*100</f>
        <v>36.322049405306487</v>
      </c>
    </row>
    <row r="7" spans="1:7" x14ac:dyDescent="0.3">
      <c r="A7">
        <f>1/20</f>
        <v>0.05</v>
      </c>
      <c r="B7">
        <v>0.42299999999999999</v>
      </c>
      <c r="C7">
        <v>0.46</v>
      </c>
      <c r="D7">
        <f>AVERAGE(B7:C7)-B1</f>
        <v>0.34450000000000003</v>
      </c>
      <c r="E7">
        <f>(1-(Table14567891011121314151617181920212223[[#This Row],[Average]]/B2))*100</f>
        <v>68.481244281793224</v>
      </c>
      <c r="F7">
        <f>(1-((Table14567891011121314151617181920212223[[#This Row],[Abs 1]]-B1)/B2))*100</f>
        <v>70.173833485818847</v>
      </c>
      <c r="G7">
        <f>(1-((Table14567891011121314151617181920212223[[#This Row],[Abs 2]]-B1)/B2))*100</f>
        <v>66.788655077767615</v>
      </c>
    </row>
    <row r="8" spans="1:7" x14ac:dyDescent="0.3">
      <c r="A8">
        <f>1/10</f>
        <v>0.1</v>
      </c>
      <c r="B8">
        <v>0.224</v>
      </c>
      <c r="C8">
        <v>0.224</v>
      </c>
      <c r="D8">
        <f>AVERAGE(B8:C8)-B1</f>
        <v>0.127</v>
      </c>
      <c r="E8">
        <f>(1-(Table14567891011121314151617181920212223[[#This Row],[Average]]/B2))*100</f>
        <v>88.380603842634955</v>
      </c>
      <c r="F8">
        <f>(1-((Table14567891011121314151617181920212223[[#This Row],[Abs 1]]-B1)/B2))*100</f>
        <v>88.380603842634955</v>
      </c>
      <c r="G8">
        <f>(1-((Table14567891011121314151617181920212223[[#This Row],[Abs 2]]-B1)/B2))*100</f>
        <v>88.380603842634955</v>
      </c>
    </row>
    <row r="12" spans="1:7" x14ac:dyDescent="0.3">
      <c r="A12" t="s">
        <v>7</v>
      </c>
      <c r="B12">
        <f>MEDIAN(Table14567891011121314151617181920212223[Q])</f>
        <v>52.104300091491297</v>
      </c>
      <c r="F12">
        <f>MEDIAN(Table14567891011121314151617181920212223[Q1])</f>
        <v>52.653247941445557</v>
      </c>
      <c r="G12">
        <f>MEDIAN(Table14567891011121314151617181920212223[Q2])</f>
        <v>51.555352241537051</v>
      </c>
    </row>
    <row r="13" spans="1:7" x14ac:dyDescent="0.3">
      <c r="A13" t="s">
        <v>9</v>
      </c>
      <c r="B13">
        <f>((B12/Trolox!C17)-Trolox!D17)*10</f>
        <v>2515.2536736302968</v>
      </c>
      <c r="F13">
        <f>((F12/Trolox!C17)-Trolox!D17)*10</f>
        <v>2543.5252943589107</v>
      </c>
      <c r="G13">
        <f>((G12/Trolox!C17)-Trolox!D17)*10</f>
        <v>2486.9820529016833</v>
      </c>
    </row>
    <row r="14" spans="1:7" x14ac:dyDescent="0.3">
      <c r="A14" t="s">
        <v>20</v>
      </c>
      <c r="B14">
        <f>(B13*0.00001*250.29)</f>
        <v>6.2954284197292703</v>
      </c>
      <c r="F14">
        <f>(F13*0.00001*250.29)</f>
        <v>6.3661894592509176</v>
      </c>
      <c r="G14">
        <f>(G13*0.00001*250.29)</f>
        <v>6.2246673802076238</v>
      </c>
    </row>
    <row r="15" spans="1:7" x14ac:dyDescent="0.3">
      <c r="A15" t="s">
        <v>21</v>
      </c>
      <c r="B15">
        <v>157.48720923964856</v>
      </c>
      <c r="F15">
        <v>160.99242547745141</v>
      </c>
      <c r="G15">
        <v>157.41352118790289</v>
      </c>
    </row>
    <row r="16" spans="1:7" x14ac:dyDescent="0.3">
      <c r="A16" t="s">
        <v>22</v>
      </c>
      <c r="B16">
        <v>62.921894298473184</v>
      </c>
      <c r="F16">
        <v>64.322356257721609</v>
      </c>
      <c r="G16">
        <v>62.892453229415047</v>
      </c>
    </row>
    <row r="18" spans="6:7" x14ac:dyDescent="0.3">
      <c r="F18" t="s">
        <v>31</v>
      </c>
      <c r="G18">
        <f>STDEV(F15:G15)</f>
        <v>2.5306674923573804</v>
      </c>
    </row>
    <row r="19" spans="6:7" x14ac:dyDescent="0.3">
      <c r="G19">
        <f>STDEV(F16:G16)</f>
        <v>1.0110941277547496</v>
      </c>
    </row>
    <row r="21" spans="6:7" x14ac:dyDescent="0.3">
      <c r="F21" s="1">
        <f>100% -G15/F15</f>
        <v>2.2230265050884546E-2</v>
      </c>
    </row>
  </sheetData>
  <pageMargins left="0.7" right="0.7" top="0.75" bottom="0.75" header="0.3" footer="0.3"/>
  <drawing r:id="rId1"/>
  <tableParts count="1">
    <tablePart r:id="rId2"/>
  </tablePart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D308E1-9625-4ABA-B5BB-59AA459D7FE2}">
  <dimension ref="A1:G22"/>
  <sheetViews>
    <sheetView tabSelected="1" zoomScale="72" zoomScaleNormal="72" workbookViewId="0">
      <selection activeCell="C19" sqref="C19"/>
    </sheetView>
  </sheetViews>
  <sheetFormatPr defaultRowHeight="14.4" x14ac:dyDescent="0.3"/>
  <cols>
    <col min="1" max="1" width="9.33203125" customWidth="1"/>
    <col min="2" max="2" width="14.109375" customWidth="1"/>
    <col min="3" max="3" width="27.33203125" customWidth="1"/>
    <col min="4" max="4" width="18.33203125" bestFit="1" customWidth="1"/>
    <col min="5" max="5" width="19.5546875" customWidth="1"/>
    <col min="6" max="6" width="19.44140625" customWidth="1"/>
    <col min="7" max="7" width="16.6640625" customWidth="1"/>
  </cols>
  <sheetData>
    <row r="1" spans="1:7" x14ac:dyDescent="0.3">
      <c r="A1" t="s">
        <v>23</v>
      </c>
      <c r="B1" t="s">
        <v>21</v>
      </c>
      <c r="C1" t="s">
        <v>22</v>
      </c>
      <c r="D1" t="s">
        <v>26</v>
      </c>
      <c r="E1" t="s">
        <v>27</v>
      </c>
      <c r="F1" t="s">
        <v>32</v>
      </c>
      <c r="G1" t="s">
        <v>33</v>
      </c>
    </row>
    <row r="2" spans="1:7" x14ac:dyDescent="0.3">
      <c r="A2">
        <v>1</v>
      </c>
      <c r="B2" s="2">
        <f>'SWECCD 1'!B15</f>
        <v>142.0540569452572</v>
      </c>
      <c r="C2" s="2">
        <f>'SWECCD 1'!B16</f>
        <v>56.755786066266019</v>
      </c>
      <c r="D2">
        <v>8</v>
      </c>
      <c r="E2">
        <v>17</v>
      </c>
      <c r="F2" s="2">
        <f>'SWECCD 1'!G18</f>
        <v>931.86382506539303</v>
      </c>
      <c r="G2" s="2">
        <f>'SWECCD 1'!G19</f>
        <v>2.0221882555095045</v>
      </c>
    </row>
    <row r="3" spans="1:7" x14ac:dyDescent="0.3">
      <c r="A3">
        <v>2</v>
      </c>
      <c r="B3" s="2">
        <f>'SWECCD 2'!B15</f>
        <v>94.358921249431859</v>
      </c>
      <c r="C3" s="2">
        <f>'SWECCD 2'!B16</f>
        <v>37.699836689213257</v>
      </c>
      <c r="D3">
        <v>3</v>
      </c>
      <c r="E3">
        <v>8</v>
      </c>
      <c r="F3" s="2">
        <f>'SWECCD 2'!G18</f>
        <v>4.0877105463548693</v>
      </c>
      <c r="G3" s="2">
        <f>'SWECCD 2'!G19</f>
        <v>1.6331897184685227</v>
      </c>
    </row>
    <row r="4" spans="1:7" x14ac:dyDescent="0.3">
      <c r="A4">
        <v>3</v>
      </c>
      <c r="B4" s="2">
        <f>'SWECCD 3'!B15</f>
        <v>90.299907415602149</v>
      </c>
      <c r="C4" s="2">
        <f>'SWECCD 3'!B16</f>
        <v>36.078112355908011</v>
      </c>
      <c r="D4">
        <v>18</v>
      </c>
      <c r="E4">
        <v>2</v>
      </c>
      <c r="F4" s="2">
        <f>'SWECCD 3'!G18</f>
        <v>2.0233456500701936</v>
      </c>
      <c r="G4" s="2">
        <f>'SWECCD 3'!G19</f>
        <v>0.80840051543017677</v>
      </c>
    </row>
    <row r="5" spans="1:7" x14ac:dyDescent="0.3">
      <c r="A5">
        <v>4</v>
      </c>
      <c r="B5" s="2">
        <f>'SWECCD 4'!B15</f>
        <v>140.2797180873427</v>
      </c>
      <c r="C5" s="3">
        <f>'SWECCD 4'!B16</f>
        <v>56.04687286241667</v>
      </c>
      <c r="D5">
        <v>4</v>
      </c>
      <c r="E5">
        <v>4</v>
      </c>
      <c r="F5" s="2">
        <f>'SWECCD 4'!G18</f>
        <v>6.8538911251345382</v>
      </c>
      <c r="G5" s="2">
        <f>'SWECCD 4'!G19</f>
        <v>1.8898140647555826</v>
      </c>
    </row>
    <row r="6" spans="1:7" x14ac:dyDescent="0.3">
      <c r="B6" s="2"/>
      <c r="C6" s="2"/>
      <c r="F6" s="2"/>
      <c r="G6" s="2"/>
    </row>
    <row r="7" spans="1:7" x14ac:dyDescent="0.3">
      <c r="A7">
        <v>6</v>
      </c>
      <c r="B7" s="2">
        <f>'SWECCD 6'!B15</f>
        <v>88.092317701246714</v>
      </c>
      <c r="C7" s="2">
        <f>'SWECCD 6'!B16</f>
        <v>35.196099604956935</v>
      </c>
      <c r="D7">
        <v>16</v>
      </c>
      <c r="E7">
        <v>18</v>
      </c>
      <c r="F7" s="2">
        <f>'SWECCD 6'!G18</f>
        <v>2.8470009289020326</v>
      </c>
      <c r="G7" s="2">
        <f>'SWECCD 6'!G19</f>
        <v>0.44615609028084635</v>
      </c>
    </row>
    <row r="8" spans="1:7" x14ac:dyDescent="0.3">
      <c r="A8">
        <v>7</v>
      </c>
      <c r="B8" s="2">
        <f>'SWECCD 7'!B15</f>
        <v>91.610037307391835</v>
      </c>
      <c r="C8" s="2">
        <f>'SWECCD 7'!B16</f>
        <v>36.601557116701365</v>
      </c>
      <c r="D8">
        <v>12</v>
      </c>
      <c r="E8">
        <v>14</v>
      </c>
      <c r="F8" s="2">
        <f>'SWECCD 7'!G18</f>
        <v>1.4569881495636621</v>
      </c>
      <c r="G8" s="2">
        <f>'SWECCD 7'!G19</f>
        <v>0.58212000062474378</v>
      </c>
    </row>
    <row r="9" spans="1:7" x14ac:dyDescent="0.3">
      <c r="A9">
        <v>8</v>
      </c>
      <c r="B9" s="2">
        <f>'SWECCD 8'!B15</f>
        <v>1398.9592137385614</v>
      </c>
      <c r="C9" s="4">
        <f>'SWECCD 8'!B16</f>
        <v>55.893532052361707</v>
      </c>
      <c r="D9">
        <v>2</v>
      </c>
      <c r="E9">
        <v>1</v>
      </c>
      <c r="F9" s="2">
        <f>'SWECCD 8'!G18</f>
        <v>10.544447884822411</v>
      </c>
      <c r="G9" s="2">
        <f>'SWECCD 8'!G19</f>
        <v>3.4382854730955916</v>
      </c>
    </row>
    <row r="10" spans="1:7" x14ac:dyDescent="0.3">
      <c r="A10">
        <v>9</v>
      </c>
      <c r="B10" s="2">
        <f>'SWECCD 9'!B15</f>
        <v>70.837457956791241</v>
      </c>
      <c r="C10" s="2">
        <f>'SWECCD 9'!B16</f>
        <v>28.3021526856012</v>
      </c>
      <c r="D10">
        <v>5</v>
      </c>
      <c r="E10">
        <v>11</v>
      </c>
      <c r="F10" s="2">
        <f>'SWECCD 9'!G18</f>
        <v>12.758781940635039</v>
      </c>
      <c r="G10" s="2">
        <f>'SWECCD 9'!G19</f>
        <v>2.019440609218603</v>
      </c>
    </row>
    <row r="11" spans="1:7" x14ac:dyDescent="0.3">
      <c r="A11">
        <v>10</v>
      </c>
      <c r="B11" s="2">
        <f>'SWECCD 10'!B15</f>
        <v>111.20679512256034</v>
      </c>
      <c r="C11" s="2">
        <f>'SWECCD 10'!B16</f>
        <v>44.431177882680224</v>
      </c>
      <c r="D11">
        <v>20</v>
      </c>
      <c r="E11">
        <v>13</v>
      </c>
      <c r="F11" s="2">
        <f>'SWECCD 10'!G18</f>
        <v>14.762227038751393</v>
      </c>
      <c r="G11" s="2">
        <f>'SWECCD 10'!G19</f>
        <v>4.0930804979214672</v>
      </c>
    </row>
    <row r="12" spans="1:7" x14ac:dyDescent="0.3">
      <c r="A12">
        <v>11</v>
      </c>
      <c r="B12" s="2">
        <f>'SWECCD 11 '!B15</f>
        <v>157.5592921996487</v>
      </c>
      <c r="C12" s="2">
        <f>'SWECCD 11 '!B16</f>
        <v>62.95069407473278</v>
      </c>
      <c r="D12">
        <v>9</v>
      </c>
      <c r="E12">
        <v>12</v>
      </c>
      <c r="F12" s="2">
        <f>'SWECCD 11 '!G18</f>
        <v>6.221224252045193</v>
      </c>
      <c r="G12" s="2">
        <f>'SWECCD 11 '!G19</f>
        <v>2.4773473793734118</v>
      </c>
    </row>
    <row r="13" spans="1:7" x14ac:dyDescent="0.3">
      <c r="A13">
        <v>12</v>
      </c>
      <c r="B13" s="2">
        <f>'SWECCD 12'!B15</f>
        <v>117.19345777386748</v>
      </c>
      <c r="C13" s="2">
        <f>'SWECCD 12'!B16</f>
        <v>46.823068350260691</v>
      </c>
      <c r="D13">
        <v>11</v>
      </c>
      <c r="E13">
        <v>7</v>
      </c>
      <c r="F13" s="2">
        <f>'SWECCD 12'!G18</f>
        <v>8.7518917444025934</v>
      </c>
      <c r="G13" s="2">
        <f>'SWECCD 12'!G19</f>
        <v>11.537196338648409</v>
      </c>
    </row>
    <row r="14" spans="1:7" x14ac:dyDescent="0.3">
      <c r="A14">
        <v>13</v>
      </c>
      <c r="B14" s="2">
        <f>'SWECCD 13'!B15</f>
        <v>125.09817314334383</v>
      </c>
      <c r="C14" s="2">
        <f>'SWECCD 13'!B16</f>
        <v>49.981290959824129</v>
      </c>
      <c r="D14">
        <v>10</v>
      </c>
      <c r="E14">
        <v>19</v>
      </c>
      <c r="F14" s="2">
        <f>'SWECCD 13'!G18</f>
        <v>2.003445098116253</v>
      </c>
      <c r="G14" s="2">
        <f>'SWECCD 13'!G19</f>
        <v>0.55813724321487757</v>
      </c>
    </row>
    <row r="15" spans="1:7" x14ac:dyDescent="0.3">
      <c r="A15">
        <v>14</v>
      </c>
      <c r="B15" s="2">
        <f>'SWECCD 14'!B15</f>
        <v>122.66897285730828</v>
      </c>
      <c r="C15" s="2">
        <f>'SWECCD 14'!B16</f>
        <v>49.010736688364808</v>
      </c>
      <c r="D15">
        <v>7</v>
      </c>
      <c r="E15">
        <v>5</v>
      </c>
      <c r="F15" s="2">
        <f>'SWECCD 14'!G18</f>
        <v>2.2143340558127278</v>
      </c>
      <c r="G15" s="2">
        <f>'SWECCD 14'!G19</f>
        <v>0.60743400778123313</v>
      </c>
    </row>
    <row r="16" spans="1:7" x14ac:dyDescent="0.3">
      <c r="A16">
        <v>15</v>
      </c>
      <c r="B16" s="2">
        <f>'SWECCD 15'!B15</f>
        <v>96.522265638861782</v>
      </c>
      <c r="C16" s="2">
        <f>'SWECCD 15'!B16</f>
        <v>38.564171816237881</v>
      </c>
      <c r="D16">
        <v>19</v>
      </c>
      <c r="E16">
        <v>16</v>
      </c>
      <c r="F16" s="2">
        <f>'SWECCD 15'!G18</f>
        <v>10.439003405974194</v>
      </c>
      <c r="G16" s="2">
        <f>'SWECCD 15'!G19</f>
        <v>8.3351971709251504</v>
      </c>
    </row>
    <row r="17" spans="1:7" x14ac:dyDescent="0.3">
      <c r="A17">
        <v>16</v>
      </c>
      <c r="B17" s="2">
        <f>'SWECCD 16'!B15</f>
        <v>139.1779410906633</v>
      </c>
      <c r="C17" s="2">
        <f>'SWECCD 16'!B16</f>
        <v>55.606672695938038</v>
      </c>
      <c r="D17">
        <v>15</v>
      </c>
      <c r="E17">
        <v>6</v>
      </c>
      <c r="F17" s="2">
        <f>'SWECCD 16'!G18</f>
        <v>1.5816671827233626</v>
      </c>
      <c r="G17" s="2">
        <f>'SWECCD 16'!G19</f>
        <v>0.44044040899347198</v>
      </c>
    </row>
    <row r="18" spans="1:7" x14ac:dyDescent="0.3">
      <c r="A18">
        <v>17</v>
      </c>
      <c r="B18" s="2">
        <f>'SWECCD 17'!B15</f>
        <v>51.031365385890638</v>
      </c>
      <c r="C18" s="2">
        <f>'SWECCD 17'!B16</f>
        <v>20.388895036114363</v>
      </c>
      <c r="D18">
        <v>1</v>
      </c>
      <c r="E18">
        <v>20</v>
      </c>
      <c r="F18" s="2">
        <f>'SWECCD 17'!G18</f>
        <v>7.802891434768596</v>
      </c>
      <c r="G18" s="2">
        <f>'SWECCD 17'!G19</f>
        <v>58.9743186620274</v>
      </c>
    </row>
    <row r="19" spans="1:7" x14ac:dyDescent="0.3">
      <c r="A19">
        <v>18</v>
      </c>
      <c r="B19" s="2">
        <f>'SWECCD 18'!B15</f>
        <v>138.12716867302518</v>
      </c>
      <c r="C19" s="2">
        <f>'SWECCD 18'!B16</f>
        <v>55.186850722372121</v>
      </c>
      <c r="D19">
        <v>6</v>
      </c>
      <c r="E19">
        <v>3</v>
      </c>
      <c r="F19" s="2">
        <f>'SWECCD 18'!G18</f>
        <v>0.7381113519375827</v>
      </c>
      <c r="G19" s="2">
        <f>'SWECCD 18'!G19</f>
        <v>0.20459821742063516</v>
      </c>
    </row>
    <row r="20" spans="1:7" x14ac:dyDescent="0.3">
      <c r="A20">
        <v>19</v>
      </c>
      <c r="B20" s="2">
        <f>'SWECCD 19'!B15</f>
        <v>140.18286779291006</v>
      </c>
      <c r="C20" s="2">
        <f>'SWECCD 19'!B16</f>
        <v>56.008177631111934</v>
      </c>
      <c r="D20">
        <v>13</v>
      </c>
      <c r="E20">
        <v>15</v>
      </c>
      <c r="F20" s="2">
        <f>'SWECCD 19'!G18</f>
        <v>3.1633343654466954</v>
      </c>
      <c r="G20" s="2">
        <f>'SWECCD 19'!G19</f>
        <v>1.5046845654093388</v>
      </c>
    </row>
    <row r="21" spans="1:7" x14ac:dyDescent="0.3">
      <c r="A21">
        <v>20</v>
      </c>
      <c r="B21" s="2">
        <f>'SWECCD 20'!B15</f>
        <v>147.88419433277949</v>
      </c>
      <c r="C21" s="2">
        <f>'SWECCD 20'!B16</f>
        <v>59.085138971904392</v>
      </c>
      <c r="D21">
        <v>17</v>
      </c>
      <c r="E21">
        <v>10</v>
      </c>
      <c r="F21" s="2">
        <f>'SWECCD 20'!G18</f>
        <v>5.0613349847147404</v>
      </c>
      <c r="G21" s="2">
        <f>'SWECCD 20'!G19</f>
        <v>31.978330611913425</v>
      </c>
    </row>
    <row r="22" spans="1:7" x14ac:dyDescent="0.3">
      <c r="A22" t="s">
        <v>24</v>
      </c>
      <c r="B22" s="2">
        <f>'SWECCD 5B'!B15</f>
        <v>157.48720923964856</v>
      </c>
      <c r="C22" s="2">
        <f>'SWECCD 5B'!B16</f>
        <v>62.921894298473184</v>
      </c>
      <c r="D22" t="s">
        <v>25</v>
      </c>
      <c r="E22">
        <v>9</v>
      </c>
      <c r="F22" s="2">
        <f>'SWECCD 5B'!G18</f>
        <v>2.5306674923573804</v>
      </c>
      <c r="G22" s="2">
        <f>'SWECCD 5B'!G19</f>
        <v>1.0110941277547496</v>
      </c>
    </row>
  </sheetData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C02717-632D-46B5-8BCC-622A772F9C62}">
  <dimension ref="A1:G19"/>
  <sheetViews>
    <sheetView workbookViewId="0">
      <selection activeCell="B14" sqref="B14"/>
    </sheetView>
  </sheetViews>
  <sheetFormatPr defaultRowHeight="14.4" x14ac:dyDescent="0.3"/>
  <cols>
    <col min="1" max="1" width="14.6640625" customWidth="1"/>
    <col min="2" max="2" width="11" bestFit="1" customWidth="1"/>
    <col min="3" max="3" width="10.44140625" customWidth="1"/>
    <col min="4" max="4" width="9.6640625" customWidth="1"/>
  </cols>
  <sheetData>
    <row r="1" spans="1:7" x14ac:dyDescent="0.3">
      <c r="A1" t="s">
        <v>0</v>
      </c>
      <c r="B1">
        <v>9.7000000000000003E-2</v>
      </c>
    </row>
    <row r="2" spans="1:7" x14ac:dyDescent="0.3">
      <c r="A2" t="s">
        <v>1</v>
      </c>
      <c r="B2">
        <f>1.19-B1</f>
        <v>1.093</v>
      </c>
    </row>
    <row r="4" spans="1:7" x14ac:dyDescent="0.3">
      <c r="A4" t="s">
        <v>6</v>
      </c>
      <c r="B4" t="s">
        <v>3</v>
      </c>
      <c r="C4" t="s">
        <v>4</v>
      </c>
      <c r="D4" t="s">
        <v>2</v>
      </c>
      <c r="E4" t="s">
        <v>5</v>
      </c>
      <c r="F4" t="s">
        <v>28</v>
      </c>
      <c r="G4" t="s">
        <v>30</v>
      </c>
    </row>
    <row r="5" spans="1:7" x14ac:dyDescent="0.3">
      <c r="A5">
        <f>1/100</f>
        <v>0.01</v>
      </c>
      <c r="B5">
        <v>0.86599999999999999</v>
      </c>
      <c r="C5">
        <v>0.754</v>
      </c>
      <c r="D5">
        <f>AVERAGE(B5:C5)-B1</f>
        <v>0.71300000000000008</v>
      </c>
      <c r="E5">
        <f>(1-(Table14[[#This Row],[Average]]/B2))*100</f>
        <v>34.766697163769436</v>
      </c>
      <c r="F5">
        <f>(1-((Table14[[#This Row],[Abs 1]]-B1)/B2))*100</f>
        <v>29.643183897529735</v>
      </c>
      <c r="G5">
        <f>(1-((Table14[[#This Row],[Abs 2]]-B1)/B2))*100</f>
        <v>39.890210430009141</v>
      </c>
    </row>
    <row r="6" spans="1:7" x14ac:dyDescent="0.3">
      <c r="A6">
        <f>1/50</f>
        <v>0.02</v>
      </c>
      <c r="B6">
        <v>0.56699999999999995</v>
      </c>
      <c r="C6">
        <v>0.4</v>
      </c>
      <c r="D6">
        <f>AVERAGE(B6:C6)-B1</f>
        <v>0.38649999999999995</v>
      </c>
      <c r="E6">
        <f>(1-(Table14[[#This Row],[Average]]/B2))*100</f>
        <v>64.638609332113447</v>
      </c>
      <c r="F6">
        <f>(1-((Table14[[#This Row],[Abs 1]]-B1)/B2))*100</f>
        <v>56.999085086916743</v>
      </c>
      <c r="G6">
        <f>(1-((Table14[[#This Row],[Abs 2]]-B1)/B2))*100</f>
        <v>72.278133577310143</v>
      </c>
    </row>
    <row r="7" spans="1:7" x14ac:dyDescent="0.3">
      <c r="A7">
        <f>1/20</f>
        <v>0.05</v>
      </c>
      <c r="B7">
        <v>0.191</v>
      </c>
      <c r="C7">
        <v>0.26</v>
      </c>
      <c r="D7">
        <f>AVERAGE(B7:C7)-B1</f>
        <v>0.1285</v>
      </c>
      <c r="E7">
        <f>(1-(Table14[[#This Row],[Average]]/B2))*100</f>
        <v>88.243366880146397</v>
      </c>
      <c r="F7">
        <f>(1-((Table14[[#This Row],[Abs 1]]-B1)/B2))*100</f>
        <v>91.399817017383342</v>
      </c>
      <c r="G7">
        <f>(1-((Table14[[#This Row],[Abs 2]]-B1)/B2))*100</f>
        <v>85.086916742909423</v>
      </c>
    </row>
    <row r="8" spans="1:7" x14ac:dyDescent="0.3">
      <c r="A8">
        <f>1/10</f>
        <v>0.1</v>
      </c>
      <c r="B8">
        <v>0.182</v>
      </c>
      <c r="C8">
        <v>0.184</v>
      </c>
      <c r="D8">
        <f>AVERAGE(B8:C8)-B1</f>
        <v>8.5999999999999993E-2</v>
      </c>
      <c r="E8">
        <f>(1-(Table14[[#This Row],[Average]]/B2))*100</f>
        <v>92.131747483989017</v>
      </c>
      <c r="F8">
        <f>(1-((Table14[[#This Row],[Abs 1]]-B1)/B2))*100</f>
        <v>92.223238792314731</v>
      </c>
      <c r="G8">
        <f>(1-((Table14[[#This Row],[Abs 2]]-B1)/B2))*100</f>
        <v>92.040256175663316</v>
      </c>
    </row>
    <row r="12" spans="1:7" x14ac:dyDescent="0.3">
      <c r="A12" t="s">
        <v>7</v>
      </c>
      <c r="B12">
        <f>MEDIAN(Table14[Q])</f>
        <v>76.440988106129922</v>
      </c>
      <c r="F12">
        <f>MEDIAN(Table14[Q1])</f>
        <v>74.199451052150039</v>
      </c>
      <c r="G12">
        <f>MEDIAN(Table14[Q2])</f>
        <v>78.682525160109776</v>
      </c>
    </row>
    <row r="13" spans="1:7" x14ac:dyDescent="0.3">
      <c r="A13" t="s">
        <v>9</v>
      </c>
      <c r="B13">
        <f>(B12/Trolox!C17)-Trolox!D17</f>
        <v>376.8628859265508</v>
      </c>
      <c r="F13">
        <f>((F12/Trolox!C17)-Trolox!D17)*10</f>
        <v>3653.1864079570009</v>
      </c>
      <c r="G13">
        <f>((G12/Trolox!C17)-Trolox!D17)*10</f>
        <v>3884.0713105740133</v>
      </c>
    </row>
    <row r="14" spans="1:7" x14ac:dyDescent="0.3">
      <c r="A14" t="s">
        <v>20</v>
      </c>
      <c r="B14">
        <f>(B13*0.00001*250.29)*10</f>
        <v>9.4325011718556393</v>
      </c>
      <c r="F14">
        <f>(F13*0.00001*250.29)</f>
        <v>9.1435602604755779</v>
      </c>
      <c r="G14">
        <f>(G13*0.00001*250.29)</f>
        <v>9.7214420832356989</v>
      </c>
    </row>
    <row r="15" spans="1:7" x14ac:dyDescent="0.3">
      <c r="A15" t="s">
        <v>21</v>
      </c>
      <c r="B15">
        <v>94.358921249431859</v>
      </c>
      <c r="F15">
        <v>91.468473402576549</v>
      </c>
      <c r="G15">
        <v>97.24936909628714</v>
      </c>
    </row>
    <row r="16" spans="1:7" x14ac:dyDescent="0.3">
      <c r="A16" t="s">
        <v>22</v>
      </c>
      <c r="B16">
        <v>37.699836689213257</v>
      </c>
      <c r="F16">
        <v>36.544997164320009</v>
      </c>
      <c r="G16">
        <v>38.85467621410649</v>
      </c>
    </row>
    <row r="18" spans="6:7" x14ac:dyDescent="0.3">
      <c r="F18" t="s">
        <v>31</v>
      </c>
      <c r="G18">
        <f>STDEV(F15:G15)</f>
        <v>4.0877105463548693</v>
      </c>
    </row>
    <row r="19" spans="6:7" x14ac:dyDescent="0.3">
      <c r="G19">
        <f>STDEV(F16:G16)</f>
        <v>1.6331897184685227</v>
      </c>
    </row>
  </sheetData>
  <pageMargins left="0.7" right="0.7" top="0.75" bottom="0.75" header="0.3" footer="0.3"/>
  <drawing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3D3E7E-85E2-4FDC-9C6F-D2AB7E2C05E7}">
  <dimension ref="A1:G19"/>
  <sheetViews>
    <sheetView topLeftCell="A4" workbookViewId="0">
      <selection activeCell="G14" sqref="G14"/>
    </sheetView>
  </sheetViews>
  <sheetFormatPr defaultRowHeight="14.4" x14ac:dyDescent="0.3"/>
  <cols>
    <col min="1" max="1" width="14.6640625" customWidth="1"/>
    <col min="2" max="2" width="11" bestFit="1" customWidth="1"/>
    <col min="3" max="3" width="10.44140625" customWidth="1"/>
    <col min="4" max="4" width="9.6640625" customWidth="1"/>
  </cols>
  <sheetData>
    <row r="1" spans="1:7" x14ac:dyDescent="0.3">
      <c r="A1" t="s">
        <v>0</v>
      </c>
      <c r="B1">
        <v>9.7000000000000003E-2</v>
      </c>
    </row>
    <row r="2" spans="1:7" x14ac:dyDescent="0.3">
      <c r="A2" t="s">
        <v>1</v>
      </c>
      <c r="B2">
        <f>1.19-B1</f>
        <v>1.093</v>
      </c>
    </row>
    <row r="4" spans="1:7" x14ac:dyDescent="0.3">
      <c r="A4" t="s">
        <v>6</v>
      </c>
      <c r="B4" t="s">
        <v>3</v>
      </c>
      <c r="C4" t="s">
        <v>4</v>
      </c>
      <c r="D4" t="s">
        <v>2</v>
      </c>
      <c r="E4" t="s">
        <v>5</v>
      </c>
      <c r="F4" t="s">
        <v>28</v>
      </c>
      <c r="G4" t="s">
        <v>30</v>
      </c>
    </row>
    <row r="5" spans="1:7" x14ac:dyDescent="0.3">
      <c r="A5">
        <f>1/100</f>
        <v>0.01</v>
      </c>
      <c r="B5">
        <v>0.80800000000000005</v>
      </c>
      <c r="C5">
        <v>0.88700000000000001</v>
      </c>
      <c r="D5">
        <f>AVERAGE(B5:C5)-B1</f>
        <v>0.75050000000000006</v>
      </c>
      <c r="E5">
        <f>(1-(Table145[[#This Row],[Average]]/B2))*100</f>
        <v>31.335773101555343</v>
      </c>
      <c r="F5">
        <f>(1-((Table145[[#This Row],[Abs 1]]-B1)/B2))*100</f>
        <v>34.949679780420851</v>
      </c>
      <c r="G5">
        <f>(1-((Table145[[#This Row],[Abs 2]]-B1)/B2))*100</f>
        <v>27.721866422689846</v>
      </c>
    </row>
    <row r="6" spans="1:7" x14ac:dyDescent="0.3">
      <c r="A6">
        <f>1/50</f>
        <v>0.02</v>
      </c>
      <c r="B6">
        <v>0.84199999999999997</v>
      </c>
      <c r="C6">
        <v>0.83399999999999996</v>
      </c>
      <c r="D6">
        <f>AVERAGE(B6:C6)-B1</f>
        <v>0.74099999999999999</v>
      </c>
      <c r="E6">
        <f>(1-(Table145[[#This Row],[Average]]/B2))*100</f>
        <v>32.204940530649587</v>
      </c>
      <c r="F6">
        <f>(1-((Table145[[#This Row],[Abs 1]]-B1)/B2))*100</f>
        <v>31.838975297346749</v>
      </c>
      <c r="G6">
        <f>(1-((Table145[[#This Row],[Abs 2]]-B1)/B2))*100</f>
        <v>32.570905763952432</v>
      </c>
    </row>
    <row r="7" spans="1:7" x14ac:dyDescent="0.3">
      <c r="A7">
        <f>1/20</f>
        <v>0.05</v>
      </c>
      <c r="B7">
        <v>0.58599999999999997</v>
      </c>
      <c r="C7">
        <v>0.58799999999999997</v>
      </c>
      <c r="D7">
        <f>AVERAGE(B7:C7)-B1</f>
        <v>0.49</v>
      </c>
      <c r="E7">
        <f>(1-(Table145[[#This Row],[Average]]/B2))*100</f>
        <v>55.169258920402562</v>
      </c>
      <c r="F7">
        <f>(1-((Table145[[#This Row],[Abs 1]]-B1)/B2))*100</f>
        <v>55.26075022872827</v>
      </c>
      <c r="G7">
        <f>(1-((Table145[[#This Row],[Abs 2]]-B1)/B2))*100</f>
        <v>55.077767612076855</v>
      </c>
    </row>
    <row r="8" spans="1:7" x14ac:dyDescent="0.3">
      <c r="A8">
        <f>1/10</f>
        <v>0.1</v>
      </c>
      <c r="B8">
        <v>0.33700000000000002</v>
      </c>
      <c r="C8">
        <v>0.312</v>
      </c>
      <c r="D8">
        <f>AVERAGE(B8:C8)-B1</f>
        <v>0.22750000000000001</v>
      </c>
      <c r="E8">
        <f>(1-(Table145[[#This Row],[Average]]/B2))*100</f>
        <v>79.185727355901193</v>
      </c>
      <c r="F8">
        <f>(1-((Table145[[#This Row],[Abs 1]]-B1)/B2))*100</f>
        <v>78.04208600182983</v>
      </c>
      <c r="G8">
        <f>(1-((Table145[[#This Row],[Abs 2]]-B1)/B2))*100</f>
        <v>80.329368709972542</v>
      </c>
    </row>
    <row r="12" spans="1:7" x14ac:dyDescent="0.3">
      <c r="A12" t="s">
        <v>7</v>
      </c>
      <c r="B12">
        <f>MEDIAN(Table145[Q])</f>
        <v>43.687099725526075</v>
      </c>
      <c r="F12">
        <f>MEDIAN(Table145[Q1])</f>
        <v>45.105215004574561</v>
      </c>
      <c r="G12">
        <f>MEDIAN(Table145[Q2])</f>
        <v>43.82433668801464</v>
      </c>
    </row>
    <row r="13" spans="1:7" x14ac:dyDescent="0.3">
      <c r="A13" t="s">
        <v>9</v>
      </c>
      <c r="B13">
        <f>(B12/Trolox!C17)-Trolox!D17</f>
        <v>208.17554891248861</v>
      </c>
      <c r="F13">
        <f>((F12/Trolox!C17)-Trolox!D17)*10</f>
        <v>2154.7905093404715</v>
      </c>
      <c r="G13">
        <f>((G12/Trolox!C17)-Trolox!D17)*10</f>
        <v>2088.82339430704</v>
      </c>
    </row>
    <row r="14" spans="1:7" x14ac:dyDescent="0.3">
      <c r="A14" t="s">
        <v>20</v>
      </c>
      <c r="B14">
        <f>(B13*0.00001*250.29)*10</f>
        <v>5.2104258137306783</v>
      </c>
      <c r="F14">
        <f>(F13*0.00001*250.29)</f>
        <v>5.3932251658282668</v>
      </c>
      <c r="G14">
        <f>(G13*0.00001*250.29)</f>
        <v>5.2281160736110905</v>
      </c>
    </row>
    <row r="15" spans="1:7" x14ac:dyDescent="0.3">
      <c r="A15" t="s">
        <v>21</v>
      </c>
      <c r="B15">
        <v>90.299907415602149</v>
      </c>
      <c r="F15">
        <v>93.467933438839097</v>
      </c>
      <c r="G15">
        <v>90.606490579141223</v>
      </c>
    </row>
    <row r="16" spans="1:7" x14ac:dyDescent="0.3">
      <c r="A16" t="s">
        <v>22</v>
      </c>
      <c r="B16">
        <v>36.078112355908011</v>
      </c>
      <c r="F16">
        <v>37.343854504310634</v>
      </c>
      <c r="G16">
        <v>36.200603531559878</v>
      </c>
    </row>
    <row r="18" spans="6:7" x14ac:dyDescent="0.3">
      <c r="F18" t="s">
        <v>31</v>
      </c>
      <c r="G18">
        <f>STDEV(F15:G15)</f>
        <v>2.0233456500701936</v>
      </c>
    </row>
    <row r="19" spans="6:7" x14ac:dyDescent="0.3">
      <c r="G19">
        <f>STDEV(F16:G16)</f>
        <v>0.80840051543017677</v>
      </c>
    </row>
  </sheetData>
  <pageMargins left="0.7" right="0.7" top="0.75" bottom="0.75" header="0.3" footer="0.3"/>
  <drawing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1B677D-C4D3-4053-BD7B-5F7B2F605728}">
  <dimension ref="A1:G19"/>
  <sheetViews>
    <sheetView topLeftCell="A10" workbookViewId="0">
      <selection activeCell="G14" sqref="G14"/>
    </sheetView>
  </sheetViews>
  <sheetFormatPr defaultRowHeight="14.4" x14ac:dyDescent="0.3"/>
  <cols>
    <col min="1" max="1" width="14.6640625" customWidth="1"/>
    <col min="2" max="2" width="11" bestFit="1" customWidth="1"/>
    <col min="3" max="3" width="10.44140625" customWidth="1"/>
    <col min="4" max="4" width="9.6640625" customWidth="1"/>
  </cols>
  <sheetData>
    <row r="1" spans="1:7" x14ac:dyDescent="0.3">
      <c r="A1" t="s">
        <v>0</v>
      </c>
      <c r="B1">
        <v>9.7000000000000003E-2</v>
      </c>
    </row>
    <row r="2" spans="1:7" x14ac:dyDescent="0.3">
      <c r="A2" t="s">
        <v>1</v>
      </c>
      <c r="B2">
        <f>1.19-B1</f>
        <v>1.093</v>
      </c>
    </row>
    <row r="4" spans="1:7" x14ac:dyDescent="0.3">
      <c r="A4" t="s">
        <v>6</v>
      </c>
      <c r="B4" t="s">
        <v>3</v>
      </c>
      <c r="C4" t="s">
        <v>4</v>
      </c>
      <c r="D4" t="s">
        <v>2</v>
      </c>
      <c r="E4" t="s">
        <v>5</v>
      </c>
      <c r="F4" t="s">
        <v>28</v>
      </c>
      <c r="G4" t="s">
        <v>30</v>
      </c>
    </row>
    <row r="5" spans="1:7" x14ac:dyDescent="0.3">
      <c r="A5">
        <f>1/100</f>
        <v>0.01</v>
      </c>
      <c r="B5">
        <v>0.80200000000000005</v>
      </c>
      <c r="C5">
        <v>0.747</v>
      </c>
      <c r="D5">
        <f>AVERAGE(B5:C5)-B1</f>
        <v>0.67749999999999999</v>
      </c>
      <c r="E5">
        <f>(1-(Table1456[[#This Row],[Average]]/B2))*100</f>
        <v>38.01463860933211</v>
      </c>
      <c r="F5">
        <f>(1-((Table1456[[#This Row],[Abs 1]]-B1)/B2))*100</f>
        <v>35.498627630375104</v>
      </c>
      <c r="G5">
        <f>(1-((Table1456[[#This Row],[Abs 2]]-B1)/B2))*100</f>
        <v>40.530649588289116</v>
      </c>
    </row>
    <row r="6" spans="1:7" x14ac:dyDescent="0.3">
      <c r="A6">
        <f>1/50</f>
        <v>0.02</v>
      </c>
      <c r="B6">
        <v>0.70499999999999996</v>
      </c>
      <c r="C6">
        <v>0.67800000000000005</v>
      </c>
      <c r="D6">
        <f>AVERAGE(B6:C6)-B1</f>
        <v>0.59450000000000003</v>
      </c>
      <c r="E6">
        <f>(1-(Table1456[[#This Row],[Average]]/B2))*100</f>
        <v>45.608417200365956</v>
      </c>
      <c r="F6">
        <f>(1-((Table1456[[#This Row],[Abs 1]]-B1)/B2))*100</f>
        <v>44.373284537968892</v>
      </c>
      <c r="G6">
        <f>(1-((Table1456[[#This Row],[Abs 2]]-B1)/B2))*100</f>
        <v>46.843549862763034</v>
      </c>
    </row>
    <row r="7" spans="1:7" x14ac:dyDescent="0.3">
      <c r="A7">
        <f>1/20</f>
        <v>0.05</v>
      </c>
      <c r="B7">
        <v>0.27300000000000002</v>
      </c>
      <c r="C7">
        <v>0.23499999999999999</v>
      </c>
      <c r="D7">
        <f>AVERAGE(B7:C7)-B1</f>
        <v>0.157</v>
      </c>
      <c r="E7">
        <f>(1-(Table1456[[#This Row],[Average]]/B2))*100</f>
        <v>85.635864592863669</v>
      </c>
      <c r="F7">
        <f>(1-((Table1456[[#This Row],[Abs 1]]-B1)/B2))*100</f>
        <v>83.897529734675203</v>
      </c>
      <c r="G7">
        <f>(1-((Table1456[[#This Row],[Abs 2]]-B1)/B2))*100</f>
        <v>87.374199451052149</v>
      </c>
    </row>
    <row r="8" spans="1:7" x14ac:dyDescent="0.3">
      <c r="A8">
        <f>1/10</f>
        <v>0.1</v>
      </c>
      <c r="B8">
        <v>0.20899999999999999</v>
      </c>
      <c r="C8">
        <v>0.20699999999999999</v>
      </c>
      <c r="D8">
        <f>AVERAGE(B8:C8)-B1</f>
        <v>0.11099999999999999</v>
      </c>
      <c r="E8">
        <f>(1-(Table1456[[#This Row],[Average]]/B2))*100</f>
        <v>89.844464775846305</v>
      </c>
      <c r="F8">
        <f>(1-((Table1456[[#This Row],[Abs 1]]-B1)/B2))*100</f>
        <v>89.752973467520576</v>
      </c>
      <c r="G8">
        <f>(1-((Table1456[[#This Row],[Abs 2]]-B1)/B2))*100</f>
        <v>89.935956084172005</v>
      </c>
    </row>
    <row r="12" spans="1:7" x14ac:dyDescent="0.3">
      <c r="A12" t="s">
        <v>7</v>
      </c>
      <c r="B12">
        <f>MEDIAN(Table1456[Q])</f>
        <v>65.622140896614809</v>
      </c>
      <c r="F12">
        <f>MEDIAN(Table1456[Q1])</f>
        <v>64.135407136322044</v>
      </c>
      <c r="G12">
        <f>MEDIAN(Table1456[Q2])</f>
        <v>67.108874656907588</v>
      </c>
    </row>
    <row r="13" spans="1:7" x14ac:dyDescent="0.3">
      <c r="A13" t="s">
        <v>9</v>
      </c>
      <c r="B13">
        <f>((B12/Trolox!C17)-Trolox!D17)*10</f>
        <v>3211.4423340724106</v>
      </c>
      <c r="F13">
        <f>((F12/Trolox!C17)-Trolox!D17)*10</f>
        <v>3134.8733612657493</v>
      </c>
      <c r="G13">
        <f>((G12/Trolox!C17)-Trolox!D17)*10</f>
        <v>3288.0113068790733</v>
      </c>
    </row>
    <row r="14" spans="1:7" x14ac:dyDescent="0.3">
      <c r="A14" t="s">
        <v>20</v>
      </c>
      <c r="B14">
        <f>(B13*0.00001*250.29)</f>
        <v>8.0379190179498377</v>
      </c>
      <c r="F14">
        <f>(F13*0.00001*250.29)</f>
        <v>7.8462745359120447</v>
      </c>
      <c r="G14">
        <f>(G13*0.00001*250.29)</f>
        <v>8.2295634999876341</v>
      </c>
    </row>
    <row r="15" spans="1:7" x14ac:dyDescent="0.3">
      <c r="A15" t="s">
        <v>21</v>
      </c>
      <c r="B15">
        <v>140.2797180873427</v>
      </c>
      <c r="F15">
        <v>198.42179950564631</v>
      </c>
      <c r="G15">
        <v>208.11466528984016</v>
      </c>
    </row>
    <row r="16" spans="1:7" x14ac:dyDescent="0.3">
      <c r="A16" t="s">
        <v>22</v>
      </c>
      <c r="B16">
        <v>56.04687286241667</v>
      </c>
      <c r="F16">
        <v>54.710572522046299</v>
      </c>
      <c r="G16">
        <v>57.38317320278707</v>
      </c>
    </row>
    <row r="18" spans="6:7" x14ac:dyDescent="0.3">
      <c r="F18" t="s">
        <v>31</v>
      </c>
      <c r="G18">
        <f>STDEV(F15:G15)</f>
        <v>6.8538911251345382</v>
      </c>
    </row>
    <row r="19" spans="6:7" x14ac:dyDescent="0.3">
      <c r="G19">
        <f>STDEV(F16:G16)</f>
        <v>1.8898140647555826</v>
      </c>
    </row>
  </sheetData>
  <phoneticPr fontId="2" type="noConversion"/>
  <pageMargins left="0.7" right="0.7" top="0.75" bottom="0.75" header="0.3" footer="0.3"/>
  <drawing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4C390B-5FFC-4315-A4CA-B87B9C10E7ED}">
  <dimension ref="A1:G19"/>
  <sheetViews>
    <sheetView workbookViewId="0">
      <selection activeCell="G14" sqref="G14"/>
    </sheetView>
  </sheetViews>
  <sheetFormatPr defaultRowHeight="14.4" x14ac:dyDescent="0.3"/>
  <cols>
    <col min="1" max="1" width="14.6640625" customWidth="1"/>
    <col min="2" max="2" width="11" bestFit="1" customWidth="1"/>
    <col min="3" max="3" width="10.44140625" customWidth="1"/>
    <col min="4" max="4" width="9.6640625" customWidth="1"/>
  </cols>
  <sheetData>
    <row r="1" spans="1:7" x14ac:dyDescent="0.3">
      <c r="A1" t="s">
        <v>0</v>
      </c>
      <c r="B1">
        <v>9.7000000000000003E-2</v>
      </c>
    </row>
    <row r="2" spans="1:7" x14ac:dyDescent="0.3">
      <c r="A2" t="s">
        <v>1</v>
      </c>
      <c r="B2">
        <f>1.19-B1</f>
        <v>1.093</v>
      </c>
    </row>
    <row r="4" spans="1:7" x14ac:dyDescent="0.3">
      <c r="A4" t="s">
        <v>6</v>
      </c>
      <c r="B4" t="s">
        <v>3</v>
      </c>
      <c r="C4" t="s">
        <v>4</v>
      </c>
      <c r="D4" t="s">
        <v>2</v>
      </c>
      <c r="E4" t="s">
        <v>5</v>
      </c>
      <c r="F4" t="s">
        <v>28</v>
      </c>
      <c r="G4" t="s">
        <v>30</v>
      </c>
    </row>
    <row r="5" spans="1:7" x14ac:dyDescent="0.3">
      <c r="A5">
        <f>1/100</f>
        <v>0.01</v>
      </c>
      <c r="B5">
        <v>0.83399999999999996</v>
      </c>
      <c r="C5">
        <v>0.95799999999999996</v>
      </c>
      <c r="D5">
        <f>AVERAGE(B5:C5)-B1</f>
        <v>0.79899999999999993</v>
      </c>
      <c r="E5">
        <f>(1-(Table14567[[#This Row],[Average]]/B2))*100</f>
        <v>26.898444647758467</v>
      </c>
      <c r="F5">
        <f>(1-((Table14567[[#This Row],[Abs 1]]-B1)/B2))*100</f>
        <v>32.570905763952432</v>
      </c>
      <c r="G5">
        <f>(1-((Table14567[[#This Row],[Abs 2]]-B1)/B2))*100</f>
        <v>21.225983531564495</v>
      </c>
    </row>
    <row r="6" spans="1:7" x14ac:dyDescent="0.3">
      <c r="A6">
        <f>1/50</f>
        <v>0.02</v>
      </c>
      <c r="B6">
        <v>0.67500000000000004</v>
      </c>
      <c r="C6">
        <v>0.85</v>
      </c>
      <c r="D6">
        <f>AVERAGE(B6:C6)-B1</f>
        <v>0.66549999999999998</v>
      </c>
      <c r="E6">
        <f>(1-(Table14567[[#This Row],[Average]]/B2))*100</f>
        <v>39.112534309240623</v>
      </c>
      <c r="F6">
        <f>(1-((Table14567[[#This Row],[Abs 1]]-B1)/B2))*100</f>
        <v>47.118023787740157</v>
      </c>
      <c r="G6">
        <f>(1-((Table14567[[#This Row],[Abs 2]]-B1)/B2))*100</f>
        <v>31.107044830741081</v>
      </c>
    </row>
    <row r="7" spans="1:7" x14ac:dyDescent="0.3">
      <c r="A7">
        <f>1/20</f>
        <v>0.05</v>
      </c>
      <c r="B7">
        <v>0.57999999999999996</v>
      </c>
      <c r="C7">
        <v>0.54100000000000004</v>
      </c>
      <c r="D7">
        <f>AVERAGE(B7:C7)-B1</f>
        <v>0.46350000000000002</v>
      </c>
      <c r="E7">
        <f>(1-(Table14567[[#This Row],[Average]]/B2))*100</f>
        <v>57.593778591033853</v>
      </c>
      <c r="F7">
        <f>(1-((Table14567[[#This Row],[Abs 1]]-B1)/B2))*100</f>
        <v>55.809698078682523</v>
      </c>
      <c r="G7">
        <f>(1-((Table14567[[#This Row],[Abs 2]]-B1)/B2))*100</f>
        <v>59.377859103385177</v>
      </c>
    </row>
    <row r="8" spans="1:7" x14ac:dyDescent="0.3">
      <c r="A8">
        <f>1/10</f>
        <v>0.1</v>
      </c>
      <c r="B8">
        <v>0.27500000000000002</v>
      </c>
      <c r="C8">
        <v>0.26900000000000002</v>
      </c>
      <c r="D8">
        <f>AVERAGE(B8:C8)-B1</f>
        <v>0.17500000000000002</v>
      </c>
      <c r="E8">
        <f>(1-(Table14567[[#This Row],[Average]]/B2))*100</f>
        <v>83.989021043000918</v>
      </c>
      <c r="F8">
        <f>(1-((Table14567[[#This Row],[Abs 1]]-B1)/B2))*100</f>
        <v>83.714547118023788</v>
      </c>
      <c r="G8">
        <f>(1-((Table14567[[#This Row],[Abs 2]]-B1)/B2))*100</f>
        <v>84.263494967978033</v>
      </c>
    </row>
    <row r="12" spans="1:7" x14ac:dyDescent="0.3">
      <c r="A12" t="s">
        <v>7</v>
      </c>
      <c r="B12">
        <f>MEDIAN(Table14567[Q])</f>
        <v>48.353156450137234</v>
      </c>
      <c r="F12">
        <f>MEDIAN(Table14567[Q1])</f>
        <v>51.463860933211336</v>
      </c>
      <c r="G12">
        <f>MEDIAN(Table14567[Q2])</f>
        <v>45.242451967063133</v>
      </c>
    </row>
    <row r="13" spans="1:7" x14ac:dyDescent="0.3">
      <c r="A13" t="s">
        <v>9</v>
      </c>
      <c r="B13">
        <f>((B12/Trolox!C17)-Trolox!D17)*10</f>
        <v>2322.064265318103</v>
      </c>
      <c r="F13">
        <f>((F12/Trolox!C17)-Trolox!D17)*10</f>
        <v>2482.2701161135806</v>
      </c>
      <c r="G13">
        <f>((G12/Trolox!C17)-Trolox!D17)*10</f>
        <v>2161.8584145226255</v>
      </c>
    </row>
    <row r="14" spans="1:7" x14ac:dyDescent="0.3">
      <c r="A14" t="s">
        <v>20</v>
      </c>
      <c r="B14">
        <f>(B13*0.00001*250.29)</f>
        <v>5.8118946496646808</v>
      </c>
      <c r="F14">
        <f>(F13*0.00001*250.29)</f>
        <v>6.2128738736206817</v>
      </c>
      <c r="G14">
        <f>(G13*0.00001*250.29)</f>
        <v>5.41091542570868</v>
      </c>
    </row>
    <row r="15" spans="1:7" x14ac:dyDescent="0.3">
      <c r="A15" t="s">
        <v>21</v>
      </c>
      <c r="B15">
        <v>145.46285826370027</v>
      </c>
      <c r="F15">
        <v>157.11527916377383</v>
      </c>
      <c r="G15">
        <v>136.83482152299899</v>
      </c>
    </row>
    <row r="16" spans="1:7" x14ac:dyDescent="0.3">
      <c r="A16" t="s">
        <v>22</v>
      </c>
      <c r="B16">
        <v>58.117726742458835</v>
      </c>
      <c r="F16">
        <v>62.127434827691012</v>
      </c>
      <c r="G16">
        <v>54.108018657226673</v>
      </c>
    </row>
    <row r="18" spans="6:7" x14ac:dyDescent="0.3">
      <c r="F18" t="s">
        <v>31</v>
      </c>
      <c r="G18">
        <f>STDEV(F15:G15)</f>
        <v>14.340449123358422</v>
      </c>
    </row>
    <row r="19" spans="6:7" x14ac:dyDescent="0.3">
      <c r="F19" t="s">
        <v>31</v>
      </c>
      <c r="G19">
        <f>STDEV(F16:G16)</f>
        <v>5.6705835552923878</v>
      </c>
    </row>
  </sheetData>
  <pageMargins left="0.7" right="0.7" top="0.75" bottom="0.75" header="0.3" footer="0.3"/>
  <drawing r:id="rId1"/>
  <tableParts count="1"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7166C0-DD2F-498B-870A-9CEDEB6BA83E}">
  <dimension ref="A1:G19"/>
  <sheetViews>
    <sheetView workbookViewId="0">
      <selection activeCell="G14" sqref="G14"/>
    </sheetView>
  </sheetViews>
  <sheetFormatPr defaultRowHeight="14.4" x14ac:dyDescent="0.3"/>
  <cols>
    <col min="1" max="1" width="14.6640625" customWidth="1"/>
    <col min="2" max="2" width="11" bestFit="1" customWidth="1"/>
    <col min="3" max="3" width="10.44140625" customWidth="1"/>
    <col min="4" max="4" width="9.6640625" customWidth="1"/>
  </cols>
  <sheetData>
    <row r="1" spans="1:7" x14ac:dyDescent="0.3">
      <c r="A1" t="s">
        <v>0</v>
      </c>
      <c r="B1">
        <v>9.7000000000000003E-2</v>
      </c>
    </row>
    <row r="2" spans="1:7" x14ac:dyDescent="0.3">
      <c r="A2" t="s">
        <v>1</v>
      </c>
      <c r="B2">
        <f>1.19-B1</f>
        <v>1.093</v>
      </c>
    </row>
    <row r="4" spans="1:7" x14ac:dyDescent="0.3">
      <c r="A4" t="s">
        <v>6</v>
      </c>
      <c r="B4" t="s">
        <v>3</v>
      </c>
      <c r="C4" t="s">
        <v>4</v>
      </c>
      <c r="D4" t="s">
        <v>2</v>
      </c>
      <c r="E4" t="s">
        <v>5</v>
      </c>
      <c r="F4" t="s">
        <v>28</v>
      </c>
      <c r="G4" t="s">
        <v>30</v>
      </c>
    </row>
    <row r="5" spans="1:7" x14ac:dyDescent="0.3">
      <c r="A5">
        <f>1/100</f>
        <v>0.01</v>
      </c>
      <c r="B5">
        <v>0.63700000000000001</v>
      </c>
      <c r="C5">
        <v>0.55700000000000005</v>
      </c>
      <c r="D5">
        <f>AVERAGE(B5:C5)-B1</f>
        <v>0.5</v>
      </c>
      <c r="E5">
        <f>(1-(Table145678[[#This Row],[Average]]/B2))*100</f>
        <v>54.254345837145465</v>
      </c>
      <c r="F5">
        <f>(1-((Table145678[[#This Row],[Abs 1]]-B1)/B2))*100</f>
        <v>50.594693504117103</v>
      </c>
      <c r="G5">
        <f>(1-((Table145678[[#This Row],[Abs 2]]-B1)/B2))*100</f>
        <v>57.913998170173819</v>
      </c>
    </row>
    <row r="6" spans="1:7" x14ac:dyDescent="0.3">
      <c r="A6">
        <f>1/50</f>
        <v>0.02</v>
      </c>
      <c r="B6">
        <v>0.54500000000000004</v>
      </c>
      <c r="C6">
        <v>0.54600000000000004</v>
      </c>
      <c r="D6">
        <f>AVERAGE(B6:C6)-B1</f>
        <v>0.44850000000000012</v>
      </c>
      <c r="E6">
        <f>(1-(Table145678[[#This Row],[Average]]/B2))*100</f>
        <v>58.966148215919475</v>
      </c>
      <c r="F6">
        <f>(1-((Table145678[[#This Row],[Abs 1]]-B1)/B2))*100</f>
        <v>59.011893870082332</v>
      </c>
      <c r="G6">
        <f>(1-((Table145678[[#This Row],[Abs 2]]-B1)/B2))*100</f>
        <v>58.920402561756624</v>
      </c>
    </row>
    <row r="7" spans="1:7" x14ac:dyDescent="0.3">
      <c r="A7">
        <f>1/20</f>
        <v>0.05</v>
      </c>
      <c r="B7">
        <v>0.27100000000000002</v>
      </c>
      <c r="C7">
        <v>0.24299999999999999</v>
      </c>
      <c r="D7">
        <f>AVERAGE(B7:C7)-B1</f>
        <v>0.16</v>
      </c>
      <c r="E7">
        <f>(1-(Table145678[[#This Row],[Average]]/B2))*100</f>
        <v>85.361390667886553</v>
      </c>
      <c r="F7">
        <f>(1-((Table145678[[#This Row],[Abs 1]]-B1)/B2))*100</f>
        <v>84.080512351326618</v>
      </c>
      <c r="G7">
        <f>(1-((Table145678[[#This Row],[Abs 2]]-B1)/B2))*100</f>
        <v>86.642268984446474</v>
      </c>
    </row>
    <row r="8" spans="1:7" x14ac:dyDescent="0.3">
      <c r="A8">
        <f>1/10</f>
        <v>0.1</v>
      </c>
      <c r="B8">
        <v>0.19500000000000001</v>
      </c>
      <c r="C8">
        <v>0.20699999999999999</v>
      </c>
      <c r="D8">
        <f>AVERAGE(B8:C8)-B1</f>
        <v>0.10400000000000001</v>
      </c>
      <c r="E8">
        <f>(1-(Table145678[[#This Row],[Average]]/B2))*100</f>
        <v>90.484903934126265</v>
      </c>
      <c r="F8">
        <f>(1-((Table145678[[#This Row],[Abs 1]]-B1)/B2))*100</f>
        <v>91.033851784080511</v>
      </c>
      <c r="G8">
        <f>(1-((Table145678[[#This Row],[Abs 2]]-B1)/B2))*100</f>
        <v>89.935956084172005</v>
      </c>
    </row>
    <row r="12" spans="1:7" x14ac:dyDescent="0.3">
      <c r="A12" t="s">
        <v>7</v>
      </c>
      <c r="B12">
        <f>MEDIAN(Table145678[Q])</f>
        <v>72.163769441903014</v>
      </c>
      <c r="F12">
        <f>MEDIAN(Table145678[Q1])</f>
        <v>71.546203110704482</v>
      </c>
      <c r="G12">
        <f>MEDIAN(Table145678[Q2])</f>
        <v>72.781335773101546</v>
      </c>
    </row>
    <row r="13" spans="1:7" x14ac:dyDescent="0.3">
      <c r="A13" t="s">
        <v>9</v>
      </c>
      <c r="B13">
        <f>((B12/Trolox!C17)-Trolox!D17)*10</f>
        <v>3548.3458144217252</v>
      </c>
      <c r="F13">
        <f>((F12/Trolox!C17)-Trolox!D17)*10</f>
        <v>3516.5402411020345</v>
      </c>
      <c r="G13">
        <f>((G12/Trolox!C17)-Trolox!D17)*10</f>
        <v>3580.1513877414154</v>
      </c>
    </row>
    <row r="14" spans="1:7" x14ac:dyDescent="0.3">
      <c r="A14" t="s">
        <v>20</v>
      </c>
      <c r="B14">
        <f>(B13*0.00001*250.29)</f>
        <v>8.8811547389161358</v>
      </c>
      <c r="F14">
        <f>(F13*0.00001*250.29)</f>
        <v>8.8015485694542832</v>
      </c>
      <c r="G14">
        <f>(G13*0.00001*250.29)</f>
        <v>8.9607609083779884</v>
      </c>
    </row>
    <row r="15" spans="1:7" x14ac:dyDescent="0.3">
      <c r="A15" t="s">
        <v>21</v>
      </c>
      <c r="B15">
        <v>88.092317701246714</v>
      </c>
      <c r="F15">
        <v>222.57940346009869</v>
      </c>
      <c r="G15">
        <v>226.60567078584074</v>
      </c>
    </row>
    <row r="16" spans="1:7" x14ac:dyDescent="0.3">
      <c r="A16" t="s">
        <v>22</v>
      </c>
      <c r="B16">
        <v>35.196099604956935</v>
      </c>
      <c r="F16">
        <v>34.880619608051674</v>
      </c>
      <c r="G16">
        <v>35.511579601862202</v>
      </c>
    </row>
    <row r="18" spans="6:7" x14ac:dyDescent="0.3">
      <c r="F18" t="s">
        <v>31</v>
      </c>
      <c r="G18">
        <f>STDEV(F15:G15)</f>
        <v>2.8470009289020326</v>
      </c>
    </row>
    <row r="19" spans="6:7" x14ac:dyDescent="0.3">
      <c r="G19">
        <f>STDEV(F16:G16)</f>
        <v>0.44615609028084635</v>
      </c>
    </row>
  </sheetData>
  <pageMargins left="0.7" right="0.7" top="0.75" bottom="0.75" header="0.3" footer="0.3"/>
  <drawing r:id="rId1"/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4B00F5-0D33-4AB7-B3AE-E407FA530D3B}">
  <dimension ref="A1:G19"/>
  <sheetViews>
    <sheetView workbookViewId="0">
      <selection activeCell="G14" sqref="G14"/>
    </sheetView>
  </sheetViews>
  <sheetFormatPr defaultRowHeight="14.4" x14ac:dyDescent="0.3"/>
  <cols>
    <col min="1" max="1" width="14.6640625" customWidth="1"/>
    <col min="2" max="2" width="11" bestFit="1" customWidth="1"/>
    <col min="3" max="3" width="10.44140625" customWidth="1"/>
    <col min="4" max="4" width="9.6640625" customWidth="1"/>
  </cols>
  <sheetData>
    <row r="1" spans="1:7" x14ac:dyDescent="0.3">
      <c r="A1" t="s">
        <v>0</v>
      </c>
      <c r="B1">
        <v>9.7000000000000003E-2</v>
      </c>
    </row>
    <row r="2" spans="1:7" x14ac:dyDescent="0.3">
      <c r="A2" t="s">
        <v>1</v>
      </c>
      <c r="B2">
        <f>1.19-B1</f>
        <v>1.093</v>
      </c>
    </row>
    <row r="4" spans="1:7" x14ac:dyDescent="0.3">
      <c r="A4" t="s">
        <v>6</v>
      </c>
      <c r="B4" t="s">
        <v>3</v>
      </c>
      <c r="C4" t="s">
        <v>4</v>
      </c>
      <c r="D4" t="s">
        <v>2</v>
      </c>
      <c r="E4" t="s">
        <v>5</v>
      </c>
      <c r="F4" t="s">
        <v>28</v>
      </c>
      <c r="G4" t="s">
        <v>30</v>
      </c>
    </row>
    <row r="5" spans="1:7" x14ac:dyDescent="0.3">
      <c r="A5">
        <f>1/100</f>
        <v>0.01</v>
      </c>
      <c r="B5">
        <v>0.61099999999999999</v>
      </c>
      <c r="C5">
        <v>0.61099999999999999</v>
      </c>
      <c r="D5">
        <f>AVERAGE(B5:C5)-B1</f>
        <v>0.51400000000000001</v>
      </c>
      <c r="E5">
        <f>(1-(Table1456789[[#This Row],[Average]]/B2))*100</f>
        <v>52.973467520585537</v>
      </c>
      <c r="F5">
        <f>(1-((Table1456789[[#This Row],[Abs 1]]-B1)/B2))*100</f>
        <v>52.973467520585537</v>
      </c>
      <c r="G5">
        <f>(1-((Table1456789[[#This Row],[Abs 2]]-B1)/B2))*100</f>
        <v>52.973467520585537</v>
      </c>
    </row>
    <row r="6" spans="1:7" x14ac:dyDescent="0.3">
      <c r="A6">
        <f>1/50</f>
        <v>0.02</v>
      </c>
      <c r="B6">
        <v>0.55300000000000005</v>
      </c>
      <c r="C6">
        <v>0.56899999999999995</v>
      </c>
      <c r="D6">
        <f>AVERAGE(B6:C6)-B1</f>
        <v>0.46399999999999997</v>
      </c>
      <c r="E6">
        <f>(1-(Table1456789[[#This Row],[Average]]/B2))*100</f>
        <v>57.548032936870996</v>
      </c>
      <c r="F6">
        <f>(1-((Table1456789[[#This Row],[Abs 1]]-B1)/B2))*100</f>
        <v>58.279963403476664</v>
      </c>
      <c r="G6">
        <f>(1-((Table1456789[[#This Row],[Abs 2]]-B1)/B2))*100</f>
        <v>56.816102470265328</v>
      </c>
    </row>
    <row r="7" spans="1:7" x14ac:dyDescent="0.3">
      <c r="A7">
        <f>1/20</f>
        <v>0.05</v>
      </c>
      <c r="B7">
        <v>0.182</v>
      </c>
      <c r="C7">
        <v>0.20100000000000001</v>
      </c>
      <c r="D7">
        <f>AVERAGE(B7:C7)-B1</f>
        <v>9.4500000000000001E-2</v>
      </c>
      <c r="E7">
        <f>(1-(Table1456789[[#This Row],[Average]]/B2))*100</f>
        <v>91.354071363220484</v>
      </c>
      <c r="F7">
        <f>(1-((Table1456789[[#This Row],[Abs 1]]-B1)/B2))*100</f>
        <v>92.223238792314731</v>
      </c>
      <c r="G7">
        <f>(1-((Table1456789[[#This Row],[Abs 2]]-B1)/B2))*100</f>
        <v>90.484903934126265</v>
      </c>
    </row>
    <row r="8" spans="1:7" x14ac:dyDescent="0.3">
      <c r="A8">
        <f>1/10</f>
        <v>0.1</v>
      </c>
      <c r="B8">
        <v>0.17899999999999999</v>
      </c>
      <c r="C8">
        <v>0.18</v>
      </c>
      <c r="D8">
        <f>AVERAGE(B8:C8)-B1</f>
        <v>8.249999999999999E-2</v>
      </c>
      <c r="E8">
        <f>(1-(Table1456789[[#This Row],[Average]]/B2))*100</f>
        <v>92.451967063129004</v>
      </c>
      <c r="F8">
        <f>(1-((Table1456789[[#This Row],[Abs 1]]-B1)/B2))*100</f>
        <v>92.497712717291861</v>
      </c>
      <c r="G8">
        <f>(1-((Table1456789[[#This Row],[Abs 2]]-B1)/B2))*100</f>
        <v>92.406221408966147</v>
      </c>
    </row>
    <row r="12" spans="1:7" x14ac:dyDescent="0.3">
      <c r="A12" t="s">
        <v>7</v>
      </c>
      <c r="B12">
        <f>MEDIAN(Table1456789[Q])</f>
        <v>74.45105215004574</v>
      </c>
      <c r="F12">
        <f>MEDIAN(Table1456789[Q1])</f>
        <v>75.251601097895701</v>
      </c>
      <c r="G12">
        <f>MEDIAN(Table1456789[Q2])</f>
        <v>73.650503202195793</v>
      </c>
    </row>
    <row r="13" spans="1:7" x14ac:dyDescent="0.3">
      <c r="A13" t="s">
        <v>9</v>
      </c>
      <c r="B13">
        <f>((B12/Trolox!C17)-Trolox!D17)*10</f>
        <v>3666.1442341242828</v>
      </c>
      <c r="F13">
        <f>((F12/Trolox!C17)-Trolox!D17)*10</f>
        <v>3707.3736810201781</v>
      </c>
      <c r="G13">
        <f>((G12/Trolox!C17)-Trolox!D17)*10</f>
        <v>3624.9147872283879</v>
      </c>
    </row>
    <row r="14" spans="1:7" x14ac:dyDescent="0.3">
      <c r="A14" t="s">
        <v>20</v>
      </c>
      <c r="B14">
        <f>(B13*0.00001*250.29)</f>
        <v>9.1759924035896674</v>
      </c>
      <c r="F14">
        <f>(F13*0.00001*250.29)</f>
        <v>9.2791855862254042</v>
      </c>
      <c r="G14">
        <f>(G13*0.00001*250.29)</f>
        <v>9.0727992209539323</v>
      </c>
    </row>
    <row r="15" spans="1:7" x14ac:dyDescent="0.3">
      <c r="A15" t="s">
        <v>21</v>
      </c>
      <c r="B15">
        <v>91.610037307391835</v>
      </c>
      <c r="F15">
        <v>92.640283508056754</v>
      </c>
      <c r="G15">
        <v>90.579791106726944</v>
      </c>
    </row>
    <row r="16" spans="1:7" x14ac:dyDescent="0.3">
      <c r="A16" t="s">
        <v>22</v>
      </c>
      <c r="B16">
        <v>36.601557116701365</v>
      </c>
      <c r="F16">
        <v>37.013178116607435</v>
      </c>
      <c r="G16">
        <v>36.189936116795288</v>
      </c>
    </row>
    <row r="18" spans="6:7" x14ac:dyDescent="0.3">
      <c r="F18" t="s">
        <v>31</v>
      </c>
      <c r="G18">
        <f>STDEV(F15:G15)</f>
        <v>1.4569881495636621</v>
      </c>
    </row>
    <row r="19" spans="6:7" x14ac:dyDescent="0.3">
      <c r="G19">
        <f>STDEV(F16:G16)</f>
        <v>0.58212000062474378</v>
      </c>
    </row>
  </sheetData>
  <pageMargins left="0.7" right="0.7" top="0.75" bottom="0.75" header="0.3" footer="0.3"/>
  <drawing r:id="rId1"/>
  <tableParts count="1"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3D1D96-298F-4FB3-9A00-4DA86E417AF8}">
  <dimension ref="A1:G19"/>
  <sheetViews>
    <sheetView workbookViewId="0">
      <selection activeCell="G14" sqref="G14"/>
    </sheetView>
  </sheetViews>
  <sheetFormatPr defaultRowHeight="14.4" x14ac:dyDescent="0.3"/>
  <cols>
    <col min="1" max="1" width="14.6640625" customWidth="1"/>
    <col min="2" max="2" width="11" bestFit="1" customWidth="1"/>
    <col min="3" max="3" width="10.44140625" customWidth="1"/>
    <col min="4" max="4" width="9.6640625" customWidth="1"/>
  </cols>
  <sheetData>
    <row r="1" spans="1:7" x14ac:dyDescent="0.3">
      <c r="A1" t="s">
        <v>0</v>
      </c>
      <c r="B1">
        <v>9.7000000000000003E-2</v>
      </c>
    </row>
    <row r="2" spans="1:7" x14ac:dyDescent="0.3">
      <c r="A2" t="s">
        <v>1</v>
      </c>
      <c r="B2">
        <f>1.19-B1</f>
        <v>1.093</v>
      </c>
    </row>
    <row r="4" spans="1:7" x14ac:dyDescent="0.3">
      <c r="A4" t="s">
        <v>6</v>
      </c>
      <c r="B4" t="s">
        <v>3</v>
      </c>
      <c r="C4" t="s">
        <v>4</v>
      </c>
      <c r="D4" t="s">
        <v>2</v>
      </c>
      <c r="E4" t="s">
        <v>5</v>
      </c>
      <c r="F4" t="s">
        <v>28</v>
      </c>
      <c r="G4" t="s">
        <v>30</v>
      </c>
    </row>
    <row r="5" spans="1:7" x14ac:dyDescent="0.3">
      <c r="A5">
        <f>1/100</f>
        <v>0.01</v>
      </c>
      <c r="B5">
        <v>0.83799999999999997</v>
      </c>
      <c r="C5">
        <v>0.85399999999999998</v>
      </c>
      <c r="D5">
        <f>AVERAGE(B5:C5)-B1</f>
        <v>0.749</v>
      </c>
      <c r="E5">
        <f>(1-(Table145678910[[#This Row],[Average]]/B2))*100</f>
        <v>31.473010064043915</v>
      </c>
      <c r="F5">
        <f>(1-((Table145678910[[#This Row],[Abs 1]]-B1)/B2))*100</f>
        <v>32.204940530649587</v>
      </c>
      <c r="G5">
        <f>(1-((Table145678910[[#This Row],[Abs 2]]-B1)/B2))*100</f>
        <v>30.741079597438237</v>
      </c>
    </row>
    <row r="6" spans="1:7" x14ac:dyDescent="0.3">
      <c r="A6">
        <f>1/50</f>
        <v>0.02</v>
      </c>
      <c r="B6">
        <v>0.65400000000000003</v>
      </c>
      <c r="C6">
        <v>0.78300000000000003</v>
      </c>
      <c r="D6">
        <f>AVERAGE(B6:C6)-B1</f>
        <v>0.62150000000000005</v>
      </c>
      <c r="E6">
        <f>(1-(Table145678910[[#This Row],[Average]]/B2))*100</f>
        <v>43.138151875571815</v>
      </c>
      <c r="F6">
        <f>(1-((Table145678910[[#This Row],[Abs 1]]-B1)/B2))*100</f>
        <v>49.039341262580052</v>
      </c>
      <c r="G6">
        <f>(1-((Table145678910[[#This Row],[Abs 2]]-B1)/B2))*100</f>
        <v>37.236962488563584</v>
      </c>
    </row>
    <row r="7" spans="1:7" x14ac:dyDescent="0.3">
      <c r="A7">
        <f>1/20</f>
        <v>0.05</v>
      </c>
      <c r="B7">
        <v>0.64900000000000002</v>
      </c>
      <c r="C7">
        <v>0.62</v>
      </c>
      <c r="D7">
        <f>AVERAGE(B7:C7)-B1</f>
        <v>0.53750000000000009</v>
      </c>
      <c r="E7">
        <f>(1-(Table145678910[[#This Row],[Average]]/B2))*100</f>
        <v>50.823421774931376</v>
      </c>
      <c r="F7">
        <f>(1-((Table145678910[[#This Row],[Abs 1]]-B1)/B2))*100</f>
        <v>49.49679780420859</v>
      </c>
      <c r="G7">
        <f>(1-((Table145678910[[#This Row],[Abs 2]]-B1)/B2))*100</f>
        <v>52.150045745654161</v>
      </c>
    </row>
    <row r="8" spans="1:7" x14ac:dyDescent="0.3">
      <c r="A8">
        <f>1/10</f>
        <v>0.1</v>
      </c>
      <c r="B8">
        <v>0.39900000000000002</v>
      </c>
      <c r="C8">
        <v>0.36699999999999999</v>
      </c>
      <c r="D8">
        <f>AVERAGE(B8:C8)-B1</f>
        <v>0.28600000000000003</v>
      </c>
      <c r="E8">
        <f>(1-(Table145678910[[#This Row],[Average]]/B2))*100</f>
        <v>73.833485818847208</v>
      </c>
      <c r="F8">
        <f>(1-((Table145678910[[#This Row],[Abs 1]]-B1)/B2))*100</f>
        <v>72.369624885635858</v>
      </c>
      <c r="G8">
        <f>(1-((Table145678910[[#This Row],[Abs 2]]-B1)/B2))*100</f>
        <v>75.297346752058544</v>
      </c>
    </row>
    <row r="12" spans="1:7" x14ac:dyDescent="0.3">
      <c r="A12" t="s">
        <v>7</v>
      </c>
      <c r="B12">
        <f>MEDIAN(Table145678910[Q])</f>
        <v>46.980786825251599</v>
      </c>
      <c r="F12">
        <f>MEDIAN(Table145678910[Q1])</f>
        <v>49.268069533394325</v>
      </c>
      <c r="G12">
        <f>MEDIAN(Table145678910[Q2])</f>
        <v>44.693504117108873</v>
      </c>
    </row>
    <row r="13" spans="1:7" x14ac:dyDescent="0.3">
      <c r="A13" t="s">
        <v>9</v>
      </c>
      <c r="B13">
        <f>((B12/Trolox!C17)-Trolox!D17)*10</f>
        <v>2251.3852134965687</v>
      </c>
      <c r="F13">
        <f>((F12/Trolox!C17)-Trolox!D17)*10</f>
        <v>2369.1836331991262</v>
      </c>
      <c r="G13">
        <f>((G12/Trolox!C17)-Trolox!D17)*10</f>
        <v>2133.5867937940116</v>
      </c>
    </row>
    <row r="14" spans="1:7" x14ac:dyDescent="0.3">
      <c r="A14" t="s">
        <v>20</v>
      </c>
      <c r="B14">
        <f>((B13*0.00001*250.29))*10</f>
        <v>56.349920508605621</v>
      </c>
      <c r="F14">
        <f>(F13*0.00001*250.29)</f>
        <v>5.929829715534094</v>
      </c>
      <c r="G14">
        <f>(G13*0.00001*250.29)</f>
        <v>5.3401543861870318</v>
      </c>
    </row>
    <row r="15" spans="1:7" x14ac:dyDescent="0.3">
      <c r="A15" t="s">
        <v>21</v>
      </c>
      <c r="B15">
        <v>1398.9592137385614</v>
      </c>
      <c r="F15">
        <v>149.95747058467686</v>
      </c>
      <c r="G15">
        <v>135.04536937822471</v>
      </c>
    </row>
    <row r="16" spans="1:7" x14ac:dyDescent="0.3">
      <c r="A16" t="s">
        <v>22</v>
      </c>
      <c r="B16">
        <v>55.893532052361707</v>
      </c>
      <c r="F16">
        <v>58.818029249861176</v>
      </c>
      <c r="G16">
        <v>53.955559302498997</v>
      </c>
    </row>
    <row r="18" spans="6:7" x14ac:dyDescent="0.3">
      <c r="F18" t="s">
        <v>31</v>
      </c>
      <c r="G18">
        <f>STDEV(F15:G15)</f>
        <v>10.544447884822411</v>
      </c>
    </row>
    <row r="19" spans="6:7" x14ac:dyDescent="0.3">
      <c r="G19">
        <f>STDEV(F16:G16)</f>
        <v>3.4382854730955916</v>
      </c>
    </row>
  </sheetData>
  <pageMargins left="0.7" right="0.7" top="0.75" bottom="0.75" header="0.3" footer="0.3"/>
  <drawing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23</vt:i4>
      </vt:variant>
    </vt:vector>
  </HeadingPairs>
  <TitlesOfParts>
    <vt:vector size="23" baseType="lpstr">
      <vt:lpstr>Trolox</vt:lpstr>
      <vt:lpstr>SWECCD 1</vt:lpstr>
      <vt:lpstr>SWECCD 2</vt:lpstr>
      <vt:lpstr>SWECCD 3</vt:lpstr>
      <vt:lpstr>SWECCD 4</vt:lpstr>
      <vt:lpstr>SWECCD 5</vt:lpstr>
      <vt:lpstr>SWECCD 6</vt:lpstr>
      <vt:lpstr>SWECCD 7</vt:lpstr>
      <vt:lpstr>SWECCD 8</vt:lpstr>
      <vt:lpstr>SWECCD 9</vt:lpstr>
      <vt:lpstr>SWECCD 10</vt:lpstr>
      <vt:lpstr>SWECCD 11 </vt:lpstr>
      <vt:lpstr>SWECCD 12</vt:lpstr>
      <vt:lpstr>SWECCD 13</vt:lpstr>
      <vt:lpstr>SWECCD 14</vt:lpstr>
      <vt:lpstr>SWECCD 15</vt:lpstr>
      <vt:lpstr>SWECCD 16</vt:lpstr>
      <vt:lpstr>SWECCD 17</vt:lpstr>
      <vt:lpstr>SWECCD 18</vt:lpstr>
      <vt:lpstr>SWECCD 19</vt:lpstr>
      <vt:lpstr>SWECCD 20</vt:lpstr>
      <vt:lpstr>SWECCD 5B</vt:lpstr>
      <vt:lpstr>Summary</vt:lpstr>
    </vt:vector>
  </TitlesOfParts>
  <Company>University of Bath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Jackie Massaya</dc:creator>
  <cp:lastModifiedBy>Jackie Massaya</cp:lastModifiedBy>
  <dcterms:created xsi:type="dcterms:W3CDTF">2020-02-01T15:25:35Z</dcterms:created>
  <dcterms:modified xsi:type="dcterms:W3CDTF">2021-01-12T12:09:39Z</dcterms:modified>
</cp:coreProperties>
</file>