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X:\Chem Eng\ResearchProjects\CChuck\EG-CE1152 - Jackie Massaya\Experiments\SCG biorefinery paper\"/>
    </mc:Choice>
  </mc:AlternateContent>
  <xr:revisionPtr revIDLastSave="0" documentId="13_ncr:1_{4F91B97A-3859-49C4-B563-2BD40FBDA77B}" xr6:coauthVersionLast="45" xr6:coauthVersionMax="45" xr10:uidLastSave="{00000000-0000-0000-0000-000000000000}"/>
  <bookViews>
    <workbookView xWindow="2467" yWindow="563" windowWidth="12181" windowHeight="11819" activeTab="1" xr2:uid="{00000000-000D-0000-FFFF-FFFF00000000}"/>
  </bookViews>
  <sheets>
    <sheet name="Fe2SO4 calibration" sheetId="1" r:id="rId1"/>
    <sheet name="JMSWE619" sheetId="4" r:id="rId2"/>
    <sheet name="Lit and Summary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5" l="1"/>
  <c r="I2" i="1"/>
  <c r="B1" i="5"/>
  <c r="F22" i="4" l="1"/>
  <c r="F9" i="1"/>
  <c r="H9" i="1" s="1"/>
  <c r="F8" i="1"/>
  <c r="H8" i="1" s="1"/>
  <c r="H19" i="4"/>
  <c r="H11" i="4"/>
  <c r="H3" i="4"/>
  <c r="H2" i="4"/>
  <c r="G9" i="1"/>
  <c r="I9" i="1"/>
  <c r="G32" i="4"/>
  <c r="F32" i="4"/>
  <c r="G3" i="4"/>
  <c r="G4" i="4"/>
  <c r="G5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" i="4"/>
  <c r="F3" i="4"/>
  <c r="F4" i="4"/>
  <c r="H4" i="4" s="1"/>
  <c r="F5" i="4"/>
  <c r="H5" i="4" s="1"/>
  <c r="F7" i="4"/>
  <c r="H7" i="4" s="1"/>
  <c r="F8" i="4"/>
  <c r="H8" i="4" s="1"/>
  <c r="F9" i="4"/>
  <c r="H9" i="4" s="1"/>
  <c r="F10" i="4"/>
  <c r="H10" i="4" s="1"/>
  <c r="F11" i="4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F20" i="4"/>
  <c r="H20" i="4" s="1"/>
  <c r="F21" i="4"/>
  <c r="H21" i="4" s="1"/>
  <c r="F2" i="4"/>
  <c r="H22" i="4" l="1"/>
  <c r="D33" i="1"/>
  <c r="D32" i="1"/>
  <c r="D28" i="1"/>
  <c r="D29" i="1"/>
  <c r="D30" i="1"/>
  <c r="D31" i="1"/>
  <c r="D27" i="1"/>
  <c r="B31" i="1"/>
  <c r="B29" i="1"/>
  <c r="I4" i="1"/>
  <c r="I5" i="1"/>
  <c r="I6" i="1"/>
  <c r="I7" i="1"/>
  <c r="I8" i="1"/>
  <c r="I10" i="1"/>
  <c r="I11" i="1"/>
  <c r="I3" i="1"/>
  <c r="F7" i="1"/>
  <c r="F6" i="1"/>
  <c r="F11" i="1"/>
  <c r="G11" i="1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G44" i="4" l="1"/>
  <c r="G43" i="4"/>
  <c r="G45" i="4"/>
  <c r="K20" i="4"/>
  <c r="G54" i="4"/>
  <c r="K12" i="4"/>
  <c r="G46" i="4"/>
  <c r="K13" i="4"/>
  <c r="G47" i="4"/>
  <c r="K17" i="4"/>
  <c r="G51" i="4"/>
  <c r="K11" i="4"/>
  <c r="K21" i="4"/>
  <c r="G55" i="4"/>
  <c r="K15" i="4"/>
  <c r="G49" i="4"/>
  <c r="K9" i="4"/>
  <c r="K19" i="4"/>
  <c r="G53" i="4"/>
  <c r="K18" i="4"/>
  <c r="G52" i="4"/>
  <c r="K16" i="4"/>
  <c r="G50" i="4"/>
  <c r="K10" i="4"/>
  <c r="K22" i="4"/>
  <c r="G56" i="4"/>
  <c r="K14" i="4"/>
  <c r="G48" i="4"/>
  <c r="I35" i="4"/>
  <c r="K3" i="4"/>
  <c r="K4" i="4"/>
  <c r="K5" i="4"/>
  <c r="K7" i="4"/>
  <c r="K8" i="4"/>
  <c r="K2" i="4"/>
  <c r="I39" i="4" l="1"/>
  <c r="I49" i="4"/>
  <c r="I50" i="4"/>
  <c r="I55" i="4"/>
  <c r="I38" i="4"/>
  <c r="I37" i="4"/>
  <c r="I52" i="4"/>
  <c r="I54" i="4"/>
  <c r="I44" i="4"/>
  <c r="I47" i="4"/>
  <c r="I36" i="4"/>
  <c r="I42" i="4"/>
  <c r="I48" i="4"/>
  <c r="I53" i="4"/>
  <c r="I46" i="4"/>
  <c r="I45" i="4"/>
  <c r="I41" i="4"/>
  <c r="I51" i="4"/>
  <c r="I40" i="4"/>
  <c r="I56" i="4"/>
  <c r="I43" i="4"/>
  <c r="B39" i="4"/>
  <c r="B44" i="4"/>
  <c r="E28" i="1"/>
  <c r="B28" i="1"/>
  <c r="B38" i="4" s="1"/>
  <c r="B41" i="4"/>
  <c r="E33" i="1"/>
  <c r="E32" i="1"/>
  <c r="E31" i="1"/>
  <c r="E30" i="1"/>
  <c r="E29" i="1"/>
  <c r="E27" i="1"/>
  <c r="B32" i="1" l="1"/>
  <c r="B42" i="4" s="1"/>
  <c r="G6" i="1" l="1"/>
  <c r="F2" i="1"/>
  <c r="F14" i="1"/>
  <c r="H11" i="1" s="1"/>
  <c r="G3" i="1"/>
  <c r="G4" i="1"/>
  <c r="G5" i="1"/>
  <c r="G7" i="1"/>
  <c r="G8" i="1"/>
  <c r="G10" i="1"/>
  <c r="G14" i="1"/>
  <c r="G2" i="1"/>
  <c r="F3" i="1"/>
  <c r="F4" i="1"/>
  <c r="F5" i="1"/>
  <c r="F10" i="1"/>
  <c r="H10" i="1" s="1"/>
  <c r="N1" i="4" l="1"/>
  <c r="G36" i="4"/>
  <c r="A36" i="4"/>
  <c r="A37" i="4"/>
  <c r="A38" i="4"/>
  <c r="A39" i="4"/>
  <c r="A40" i="4"/>
  <c r="A41" i="4"/>
  <c r="A42" i="4"/>
  <c r="A43" i="4"/>
  <c r="A44" i="4"/>
  <c r="A45" i="4"/>
  <c r="H36" i="4"/>
  <c r="H37" i="4"/>
  <c r="H38" i="4"/>
  <c r="H39" i="4"/>
  <c r="H40" i="4"/>
  <c r="H41" i="4"/>
  <c r="H42" i="4"/>
  <c r="G37" i="4"/>
  <c r="G38" i="4"/>
  <c r="G39" i="4"/>
  <c r="G40" i="4"/>
  <c r="G41" i="4"/>
  <c r="G42" i="4"/>
  <c r="H7" i="1" l="1"/>
  <c r="H3" i="1" l="1"/>
  <c r="H4" i="1"/>
  <c r="H5" i="1"/>
  <c r="H6" i="1"/>
  <c r="H2" i="1"/>
  <c r="B30" i="1" l="1"/>
  <c r="B19" i="1" a="1"/>
  <c r="B40" i="4"/>
  <c r="C49" i="4" l="1"/>
  <c r="D49" i="4" s="1"/>
  <c r="C47" i="4"/>
  <c r="D47" i="4" s="1"/>
  <c r="C44" i="4"/>
  <c r="D44" i="4" s="1"/>
  <c r="C52" i="4"/>
  <c r="D52" i="4" s="1"/>
  <c r="C46" i="4"/>
  <c r="D46" i="4" s="1"/>
  <c r="C50" i="4"/>
  <c r="D50" i="4" s="1"/>
  <c r="C51" i="4"/>
  <c r="D51" i="4" s="1"/>
  <c r="C55" i="4"/>
  <c r="D55" i="4" s="1"/>
  <c r="C48" i="4"/>
  <c r="D48" i="4" s="1"/>
  <c r="C45" i="4"/>
  <c r="D45" i="4" s="1"/>
  <c r="C53" i="4"/>
  <c r="D53" i="4" s="1"/>
  <c r="C54" i="4"/>
  <c r="D54" i="4" s="1"/>
  <c r="C43" i="4"/>
  <c r="D43" i="4" s="1"/>
  <c r="C56" i="4"/>
  <c r="D56" i="4" s="1"/>
  <c r="B19" i="1"/>
  <c r="B22" i="1"/>
  <c r="B23" i="1"/>
  <c r="C23" i="1"/>
  <c r="B21" i="1"/>
  <c r="C20" i="1"/>
  <c r="C22" i="1"/>
  <c r="B20" i="1"/>
  <c r="B26" i="1" s="1"/>
  <c r="C19" i="1"/>
  <c r="C21" i="1"/>
  <c r="B33" i="1" s="1"/>
  <c r="B43" i="4" s="1"/>
  <c r="C41" i="4"/>
  <c r="D41" i="4" s="1"/>
  <c r="C36" i="4"/>
  <c r="D36" i="4" s="1"/>
  <c r="C42" i="4"/>
  <c r="D42" i="4" s="1"/>
  <c r="C40" i="4"/>
  <c r="D40" i="4" s="1"/>
  <c r="C37" i="4"/>
  <c r="D37" i="4" s="1"/>
  <c r="C38" i="4"/>
  <c r="D38" i="4" s="1"/>
  <c r="C39" i="4"/>
  <c r="D39" i="4" s="1"/>
  <c r="I20" i="4" l="1"/>
  <c r="I12" i="4"/>
  <c r="I17" i="4"/>
  <c r="I16" i="4"/>
  <c r="I14" i="4"/>
  <c r="I21" i="4"/>
  <c r="I19" i="4"/>
  <c r="I11" i="4"/>
  <c r="I15" i="4"/>
  <c r="I4" i="4"/>
  <c r="I13" i="4"/>
  <c r="I18" i="4"/>
  <c r="I10" i="4"/>
  <c r="I9" i="4"/>
  <c r="I2" i="4"/>
  <c r="I22" i="4"/>
  <c r="B27" i="1"/>
  <c r="B37" i="4" s="1"/>
  <c r="I7" i="4"/>
  <c r="I8" i="4"/>
  <c r="I3" i="4"/>
  <c r="I5" i="4"/>
  <c r="B36" i="4"/>
  <c r="P19" i="4" l="1"/>
  <c r="C19" i="5" s="1"/>
  <c r="B19" i="5"/>
  <c r="P5" i="4"/>
  <c r="C5" i="5" s="1"/>
  <c r="B5" i="5"/>
  <c r="P3" i="4"/>
  <c r="C3" i="5" s="1"/>
  <c r="B3" i="5"/>
  <c r="P17" i="4"/>
  <c r="C17" i="5" s="1"/>
  <c r="B17" i="5"/>
  <c r="P7" i="4"/>
  <c r="C7" i="5" s="1"/>
  <c r="B7" i="5"/>
  <c r="P2" i="4"/>
  <c r="C2" i="5" s="1"/>
  <c r="B2" i="5"/>
  <c r="B9" i="5"/>
  <c r="P9" i="4"/>
  <c r="C9" i="5" s="1"/>
  <c r="P10" i="4"/>
  <c r="C10" i="5" s="1"/>
  <c r="B10" i="5"/>
  <c r="C6" i="5"/>
  <c r="B6" i="5"/>
  <c r="P8" i="4"/>
  <c r="C8" i="5" s="1"/>
  <c r="B8" i="5"/>
  <c r="B13" i="5"/>
  <c r="P13" i="4"/>
  <c r="C13" i="5" s="1"/>
  <c r="P12" i="4"/>
  <c r="C12" i="5" s="1"/>
  <c r="B12" i="5"/>
  <c r="P20" i="4"/>
  <c r="C20" i="5" s="1"/>
  <c r="B20" i="5"/>
  <c r="B21" i="5"/>
  <c r="P21" i="4"/>
  <c r="C21" i="5" s="1"/>
  <c r="P14" i="4"/>
  <c r="C14" i="5" s="1"/>
  <c r="B14" i="5"/>
  <c r="P18" i="4"/>
  <c r="C18" i="5" s="1"/>
  <c r="B18" i="5"/>
  <c r="P16" i="4"/>
  <c r="C16" i="5" s="1"/>
  <c r="B16" i="5"/>
  <c r="P4" i="4"/>
  <c r="C4" i="5" s="1"/>
  <c r="B4" i="5"/>
  <c r="P15" i="4"/>
  <c r="C15" i="5" s="1"/>
  <c r="B15" i="5"/>
  <c r="P22" i="4"/>
  <c r="C22" i="5" s="1"/>
  <c r="B22" i="5"/>
  <c r="P11" i="4"/>
  <c r="C11" i="5" s="1"/>
  <c r="B11" i="5"/>
  <c r="B35" i="1"/>
  <c r="B45" i="4" s="1"/>
  <c r="F48" i="4" l="1"/>
  <c r="L48" i="4" s="1"/>
  <c r="N14" i="4" s="1"/>
  <c r="F55" i="4"/>
  <c r="L55" i="4" s="1"/>
  <c r="N21" i="4" s="1"/>
  <c r="F47" i="4"/>
  <c r="L47" i="4" s="1"/>
  <c r="N13" i="4" s="1"/>
  <c r="F42" i="4"/>
  <c r="L42" i="4" s="1"/>
  <c r="N8" i="4" s="1"/>
  <c r="F54" i="4"/>
  <c r="L54" i="4" s="1"/>
  <c r="N20" i="4" s="1"/>
  <c r="F46" i="4"/>
  <c r="L46" i="4" s="1"/>
  <c r="N12" i="4" s="1"/>
  <c r="F53" i="4"/>
  <c r="L53" i="4" s="1"/>
  <c r="N19" i="4" s="1"/>
  <c r="F45" i="4"/>
  <c r="L45" i="4" s="1"/>
  <c r="N11" i="4" s="1"/>
  <c r="F50" i="4"/>
  <c r="L50" i="4" s="1"/>
  <c r="N16" i="4" s="1"/>
  <c r="F49" i="4"/>
  <c r="L49" i="4" s="1"/>
  <c r="N15" i="4" s="1"/>
  <c r="F52" i="4"/>
  <c r="L52" i="4" s="1"/>
  <c r="N18" i="4" s="1"/>
  <c r="F44" i="4"/>
  <c r="L44" i="4" s="1"/>
  <c r="N10" i="4" s="1"/>
  <c r="F51" i="4"/>
  <c r="L51" i="4" s="1"/>
  <c r="N17" i="4" s="1"/>
  <c r="F43" i="4"/>
  <c r="L43" i="4" s="1"/>
  <c r="N9" i="4" s="1"/>
  <c r="F56" i="4"/>
  <c r="L56" i="4" s="1"/>
  <c r="N22" i="4" s="1"/>
  <c r="F36" i="4"/>
  <c r="F38" i="4"/>
  <c r="F41" i="4"/>
  <c r="F40" i="4"/>
  <c r="F37" i="4"/>
  <c r="F39" i="4"/>
  <c r="L36" i="4" l="1"/>
  <c r="N2" i="4" s="1"/>
  <c r="L40" i="4"/>
  <c r="L37" i="4"/>
  <c r="N3" i="4" s="1"/>
  <c r="L41" i="4"/>
  <c r="N7" i="4" s="1"/>
  <c r="L39" i="4"/>
  <c r="N5" i="4" s="1"/>
  <c r="L38" i="4"/>
  <c r="N4" i="4" s="1"/>
</calcChain>
</file>

<file path=xl/sharedStrings.xml><?xml version="1.0" encoding="utf-8"?>
<sst xmlns="http://schemas.openxmlformats.org/spreadsheetml/2006/main" count="111" uniqueCount="90">
  <si>
    <t>Absorbance</t>
  </si>
  <si>
    <t>Mean</t>
  </si>
  <si>
    <t>Blank</t>
  </si>
  <si>
    <t>SD</t>
  </si>
  <si>
    <t>Mean - blank</t>
  </si>
  <si>
    <t>Slope</t>
  </si>
  <si>
    <t>errpr</t>
  </si>
  <si>
    <t>R-Squared</t>
  </si>
  <si>
    <t>F stat</t>
  </si>
  <si>
    <t xml:space="preserve">Regression sum of squares </t>
  </si>
  <si>
    <t>Intercept</t>
  </si>
  <si>
    <t>Error in intercept</t>
  </si>
  <si>
    <t>Standard deviation of y</t>
  </si>
  <si>
    <t xml:space="preserve">degrees of freedom </t>
  </si>
  <si>
    <t>residual sum of squares</t>
  </si>
  <si>
    <t>ml in extraction</t>
  </si>
  <si>
    <t>g in extraction</t>
  </si>
  <si>
    <t>standard error in slope sb</t>
  </si>
  <si>
    <t>yo - mean y</t>
  </si>
  <si>
    <t>(yo - mean y)^2</t>
  </si>
  <si>
    <t>b</t>
  </si>
  <si>
    <t>1/m</t>
  </si>
  <si>
    <t>1/n</t>
  </si>
  <si>
    <t>mean y</t>
  </si>
  <si>
    <t>mean x</t>
  </si>
  <si>
    <t>standard error in regression, s yx</t>
  </si>
  <si>
    <t>sy,x / b</t>
  </si>
  <si>
    <t>(xi - mean x)^2</t>
  </si>
  <si>
    <t>sum( xi-mean x)^2</t>
  </si>
  <si>
    <t>Standard deviation in conc</t>
  </si>
  <si>
    <t>Sstd</t>
  </si>
  <si>
    <t>n-1</t>
  </si>
  <si>
    <t>Sstd^2*n-1</t>
  </si>
  <si>
    <t>Fe(II) mg/mL)</t>
  </si>
  <si>
    <t>t (4 dof) at 95 %</t>
  </si>
  <si>
    <r>
      <t xml:space="preserve">Uconc analyte </t>
    </r>
    <r>
      <rPr>
        <sz val="11"/>
        <color theme="1"/>
        <rFont val="Calibri"/>
        <family val="2"/>
      </rPr>
      <t>±</t>
    </r>
  </si>
  <si>
    <t>SCG (g)</t>
  </si>
  <si>
    <t>SAMPLE</t>
  </si>
  <si>
    <t>ABSORBANCE</t>
  </si>
  <si>
    <t>MEAN ABSORBANCE</t>
  </si>
  <si>
    <t>MEAN- BLANK</t>
  </si>
  <si>
    <t>BLANK</t>
  </si>
  <si>
    <t>multiplier</t>
  </si>
  <si>
    <t>xi - mean x</t>
  </si>
  <si>
    <t>H2O (ml)</t>
  </si>
  <si>
    <t>Average</t>
  </si>
  <si>
    <t>H2O (L)</t>
  </si>
  <si>
    <t>mmolFE(II)/g SCG</t>
  </si>
  <si>
    <t>[Fe2+] mM</t>
  </si>
  <si>
    <t>Fe(II)mM</t>
  </si>
  <si>
    <t>X_SWE619</t>
  </si>
  <si>
    <t>Error mmol Fe(II)/ g SCG</t>
  </si>
  <si>
    <t>14b</t>
  </si>
  <si>
    <t>minitab number</t>
  </si>
  <si>
    <t>t (min)</t>
  </si>
  <si>
    <t>T (degrees)</t>
  </si>
  <si>
    <t>L/S (mL/g SCG)</t>
  </si>
  <si>
    <t>P (Mpa)</t>
  </si>
  <si>
    <t>Other data</t>
  </si>
  <si>
    <t>DPPH, TPC CGA</t>
  </si>
  <si>
    <t>Fe(II) mg/mL</t>
  </si>
  <si>
    <t>DPPH (%), TPC</t>
  </si>
  <si>
    <t>NOTES</t>
  </si>
  <si>
    <t>MeOH SLE</t>
  </si>
  <si>
    <t>TPC, CGA</t>
  </si>
  <si>
    <t>RT</t>
  </si>
  <si>
    <t>mg Fe(II)/ g SCG db</t>
  </si>
  <si>
    <t>mtab number 10/19</t>
  </si>
  <si>
    <t>Sample ID</t>
  </si>
  <si>
    <t>1_SWE619</t>
  </si>
  <si>
    <t>2_SWE619</t>
  </si>
  <si>
    <t>3_SWE619</t>
  </si>
  <si>
    <t>4_SWE619</t>
  </si>
  <si>
    <t>5_SWE619</t>
  </si>
  <si>
    <t>6_SWE619</t>
  </si>
  <si>
    <t>7_SWE619</t>
  </si>
  <si>
    <t>8_SWE619</t>
  </si>
  <si>
    <t>9_SWE619</t>
  </si>
  <si>
    <t>10_SWE619</t>
  </si>
  <si>
    <t>11_SWE619</t>
  </si>
  <si>
    <t>12_SWE619</t>
  </si>
  <si>
    <t>13_SWE619</t>
  </si>
  <si>
    <t>14_SWE619</t>
  </si>
  <si>
    <t>15_SWE619</t>
  </si>
  <si>
    <t>16_SWE619</t>
  </si>
  <si>
    <t>17_SWE619</t>
  </si>
  <si>
    <t>18_SWE619</t>
  </si>
  <si>
    <t>19_SWE619</t>
  </si>
  <si>
    <t>20_SWE619</t>
  </si>
  <si>
    <t>5b_SWE619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</si>
</sst>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C7DBB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2" fontId="0" fillId="0" borderId="0" xfId="0" applyNumberFormat="1"/>
    <xf numFmtId="0" fontId="0" fillId="4" borderId="0" xfId="0" applyFill="1"/>
    <xf numFmtId="0" fontId="4" fillId="0" borderId="0" xfId="1"/>
    <xf numFmtId="0" fontId="5" fillId="0" borderId="0" xfId="0" applyFont="1"/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FE</a:t>
            </a:r>
            <a:r>
              <a:rPr lang="en-US" baseline="30000"/>
              <a:t>II</a:t>
            </a:r>
            <a:r>
              <a:rPr lang="en-US" baseline="0"/>
              <a:t> Frap Assay Calibration Curve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12667352989465"/>
          <c:y val="0.13004811487738602"/>
          <c:w val="0.86402464778109633"/>
          <c:h val="0.72491710688062727"/>
        </c:manualLayout>
      </c:layout>
      <c:scatterChart>
        <c:scatterStyle val="lineMarker"/>
        <c:varyColors val="0"/>
        <c:ser>
          <c:idx val="0"/>
          <c:order val="0"/>
          <c:tx>
            <c:strRef>
              <c:f>'Fe2SO4 calibration'!$H$1</c:f>
              <c:strCache>
                <c:ptCount val="1"/>
                <c:pt idx="0">
                  <c:v>Mean - blank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'Fe2SO4 calibration'!$G$2:$G$10</c:f>
                <c:numCache>
                  <c:formatCode>General</c:formatCode>
                  <c:ptCount val="9"/>
                  <c:pt idx="0">
                    <c:v>3.4156502553198691E-3</c:v>
                  </c:pt>
                  <c:pt idx="1">
                    <c:v>1.156143013068308E-2</c:v>
                  </c:pt>
                  <c:pt idx="2">
                    <c:v>1.9866219234335111E-2</c:v>
                  </c:pt>
                  <c:pt idx="3">
                    <c:v>1.3326039671760461E-2</c:v>
                  </c:pt>
                  <c:pt idx="4">
                    <c:v>3.0369941279714964E-2</c:v>
                  </c:pt>
                  <c:pt idx="5">
                    <c:v>2.1792582836062998E-2</c:v>
                  </c:pt>
                  <c:pt idx="6">
                    <c:v>2.3200215516240331E-2</c:v>
                  </c:pt>
                  <c:pt idx="7">
                    <c:v>1.0066445913694291E-2</c:v>
                  </c:pt>
                  <c:pt idx="8">
                    <c:v>1.663329993316616E-2</c:v>
                  </c:pt>
                </c:numCache>
              </c:numRef>
            </c:plus>
            <c:minus>
              <c:numRef>
                <c:f>'Fe2SO4 calibration'!$G$2:$G$10</c:f>
                <c:numCache>
                  <c:formatCode>General</c:formatCode>
                  <c:ptCount val="9"/>
                  <c:pt idx="0">
                    <c:v>3.4156502553198691E-3</c:v>
                  </c:pt>
                  <c:pt idx="1">
                    <c:v>1.156143013068308E-2</c:v>
                  </c:pt>
                  <c:pt idx="2">
                    <c:v>1.9866219234335111E-2</c:v>
                  </c:pt>
                  <c:pt idx="3">
                    <c:v>1.3326039671760461E-2</c:v>
                  </c:pt>
                  <c:pt idx="4">
                    <c:v>3.0369941279714964E-2</c:v>
                  </c:pt>
                  <c:pt idx="5">
                    <c:v>2.1792582836062998E-2</c:v>
                  </c:pt>
                  <c:pt idx="6">
                    <c:v>2.3200215516240331E-2</c:v>
                  </c:pt>
                  <c:pt idx="7">
                    <c:v>1.0066445913694291E-2</c:v>
                  </c:pt>
                  <c:pt idx="8">
                    <c:v>1.663329993316616E-2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'Fe2SO4 calibration'!$A$2:$A$8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</c:numCache>
            </c:numRef>
          </c:xVal>
          <c:yVal>
            <c:numRef>
              <c:f>'Fe2SO4 calibration'!$H$2:$H$8</c:f>
              <c:numCache>
                <c:formatCode>General</c:formatCode>
                <c:ptCount val="7"/>
                <c:pt idx="0">
                  <c:v>5.9249999999999983E-2</c:v>
                </c:pt>
                <c:pt idx="1">
                  <c:v>0.12924999999999998</c:v>
                </c:pt>
                <c:pt idx="2">
                  <c:v>0.19974999999999998</c:v>
                </c:pt>
                <c:pt idx="3">
                  <c:v>0.31599999999999995</c:v>
                </c:pt>
                <c:pt idx="4">
                  <c:v>0.39974999999999999</c:v>
                </c:pt>
                <c:pt idx="5">
                  <c:v>0.42575000000000002</c:v>
                </c:pt>
                <c:pt idx="6">
                  <c:v>0.70566666666666666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1D-4C87-B530-461BB7029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5962536"/>
        <c:axId val="905960568"/>
      </c:scatterChart>
      <c:valAx>
        <c:axId val="905962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[Fe</a:t>
                </a:r>
                <a:r>
                  <a:rPr lang="en-US" baseline="30000"/>
                  <a:t>II</a:t>
                </a:r>
                <a:r>
                  <a:rPr lang="en-US" baseline="0"/>
                  <a:t>] mM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5960568"/>
        <c:crosses val="autoZero"/>
        <c:crossBetween val="midCat"/>
      </c:valAx>
      <c:valAx>
        <c:axId val="905960568"/>
        <c:scaling>
          <c:orientation val="minMax"/>
          <c:max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Absorbance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5962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JMSWE619  FRAP ASSAY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JMSWE619!$N$2:$N$22</c:f>
                <c:numCache>
                  <c:formatCode>General</c:formatCode>
                  <c:ptCount val="21"/>
                  <c:pt idx="0">
                    <c:v>5.1975178345308225E-3</c:v>
                  </c:pt>
                  <c:pt idx="1">
                    <c:v>2.9117884486715836E-3</c:v>
                  </c:pt>
                  <c:pt idx="2">
                    <c:v>4.406452209982854E-3</c:v>
                  </c:pt>
                  <c:pt idx="3">
                    <c:v>4.538183807379542E-3</c:v>
                  </c:pt>
                  <c:pt idx="5">
                    <c:v>3.7223266514001285E-3</c:v>
                  </c:pt>
                  <c:pt idx="6">
                    <c:v>2.8652929099499107E-3</c:v>
                  </c:pt>
                  <c:pt idx="7">
                    <c:v>5.678800484372578E-3</c:v>
                  </c:pt>
                  <c:pt idx="8">
                    <c:v>2.6983375765517268E-3</c:v>
                  </c:pt>
                  <c:pt idx="9">
                    <c:v>4.336588499694905E-3</c:v>
                  </c:pt>
                  <c:pt idx="10">
                    <c:v>5.8479174556377422E-3</c:v>
                  </c:pt>
                  <c:pt idx="11">
                    <c:v>1.2636139900607619E-2</c:v>
                  </c:pt>
                  <c:pt idx="12">
                    <c:v>4.8705681838626677E-3</c:v>
                  </c:pt>
                  <c:pt idx="13">
                    <c:v>4.4693624442787268E-3</c:v>
                  </c:pt>
                  <c:pt idx="14">
                    <c:v>4.5781052219576934E-3</c:v>
                  </c:pt>
                  <c:pt idx="15">
                    <c:v>4.2083331209432362E-3</c:v>
                  </c:pt>
                  <c:pt idx="16">
                    <c:v>1.4567526604885787E-3</c:v>
                  </c:pt>
                  <c:pt idx="17">
                    <c:v>4.6823707102823615E-3</c:v>
                  </c:pt>
                  <c:pt idx="18">
                    <c:v>6.0002201184448083E-3</c:v>
                  </c:pt>
                  <c:pt idx="19">
                    <c:v>5.1513836089640075E-3</c:v>
                  </c:pt>
                  <c:pt idx="20">
                    <c:v>6.7643251538494964E-3</c:v>
                  </c:pt>
                </c:numCache>
              </c:numRef>
            </c:plus>
            <c:minus>
              <c:numRef>
                <c:f>JMSWE619!$N$2:$N$22</c:f>
                <c:numCache>
                  <c:formatCode>General</c:formatCode>
                  <c:ptCount val="21"/>
                  <c:pt idx="0">
                    <c:v>5.1975178345308225E-3</c:v>
                  </c:pt>
                  <c:pt idx="1">
                    <c:v>2.9117884486715836E-3</c:v>
                  </c:pt>
                  <c:pt idx="2">
                    <c:v>4.406452209982854E-3</c:v>
                  </c:pt>
                  <c:pt idx="3">
                    <c:v>4.538183807379542E-3</c:v>
                  </c:pt>
                  <c:pt idx="5">
                    <c:v>3.7223266514001285E-3</c:v>
                  </c:pt>
                  <c:pt idx="6">
                    <c:v>2.8652929099499107E-3</c:v>
                  </c:pt>
                  <c:pt idx="7">
                    <c:v>5.678800484372578E-3</c:v>
                  </c:pt>
                  <c:pt idx="8">
                    <c:v>2.6983375765517268E-3</c:v>
                  </c:pt>
                  <c:pt idx="9">
                    <c:v>4.336588499694905E-3</c:v>
                  </c:pt>
                  <c:pt idx="10">
                    <c:v>5.8479174556377422E-3</c:v>
                  </c:pt>
                  <c:pt idx="11">
                    <c:v>1.2636139900607619E-2</c:v>
                  </c:pt>
                  <c:pt idx="12">
                    <c:v>4.8705681838626677E-3</c:v>
                  </c:pt>
                  <c:pt idx="13">
                    <c:v>4.4693624442787268E-3</c:v>
                  </c:pt>
                  <c:pt idx="14">
                    <c:v>4.5781052219576934E-3</c:v>
                  </c:pt>
                  <c:pt idx="15">
                    <c:v>4.2083331209432362E-3</c:v>
                  </c:pt>
                  <c:pt idx="16">
                    <c:v>1.4567526604885787E-3</c:v>
                  </c:pt>
                  <c:pt idx="17">
                    <c:v>4.6823707102823615E-3</c:v>
                  </c:pt>
                  <c:pt idx="18">
                    <c:v>6.0002201184448083E-3</c:v>
                  </c:pt>
                  <c:pt idx="19">
                    <c:v>5.1513836089640075E-3</c:v>
                  </c:pt>
                  <c:pt idx="20">
                    <c:v>6.7643251538494964E-3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JMSWE619!$A$2:$A$22</c:f>
              <c:strCache>
                <c:ptCount val="21"/>
                <c:pt idx="0">
                  <c:v>1_SWE619</c:v>
                </c:pt>
                <c:pt idx="1">
                  <c:v>2_SWE619</c:v>
                </c:pt>
                <c:pt idx="2">
                  <c:v>3_SWE619</c:v>
                </c:pt>
                <c:pt idx="3">
                  <c:v>4_SWE619</c:v>
                </c:pt>
                <c:pt idx="5">
                  <c:v>6_SWE619</c:v>
                </c:pt>
                <c:pt idx="6">
                  <c:v>7_SWE619</c:v>
                </c:pt>
                <c:pt idx="7">
                  <c:v>8_SWE619</c:v>
                </c:pt>
                <c:pt idx="8">
                  <c:v>9_SWE619</c:v>
                </c:pt>
                <c:pt idx="9">
                  <c:v>10_SWE619</c:v>
                </c:pt>
                <c:pt idx="10">
                  <c:v>11_SWE619</c:v>
                </c:pt>
                <c:pt idx="11">
                  <c:v>12_SWE619</c:v>
                </c:pt>
                <c:pt idx="12">
                  <c:v>13_SWE619</c:v>
                </c:pt>
                <c:pt idx="13">
                  <c:v>14_SWE619</c:v>
                </c:pt>
                <c:pt idx="14">
                  <c:v>15_SWE619</c:v>
                </c:pt>
                <c:pt idx="15">
                  <c:v>16_SWE619</c:v>
                </c:pt>
                <c:pt idx="16">
                  <c:v>17_SWE619</c:v>
                </c:pt>
                <c:pt idx="17">
                  <c:v>18_SWE619</c:v>
                </c:pt>
                <c:pt idx="18">
                  <c:v>19_SWE619</c:v>
                </c:pt>
                <c:pt idx="19">
                  <c:v>20_SWE619</c:v>
                </c:pt>
                <c:pt idx="20">
                  <c:v>5b_SWE619</c:v>
                </c:pt>
              </c:strCache>
            </c:strRef>
          </c:cat>
          <c:val>
            <c:numRef>
              <c:f>JMSWE619!$M$2:$M$22</c:f>
              <c:numCache>
                <c:formatCode>General</c:formatCode>
                <c:ptCount val="21"/>
                <c:pt idx="0">
                  <c:v>0.24159303318465836</c:v>
                </c:pt>
                <c:pt idx="1">
                  <c:v>0.11611005150680848</c:v>
                </c:pt>
                <c:pt idx="2">
                  <c:v>0.18603633793745636</c:v>
                </c:pt>
                <c:pt idx="3">
                  <c:v>0.18974560057895626</c:v>
                </c:pt>
                <c:pt idx="5">
                  <c:v>0.13458550808479774</c:v>
                </c:pt>
                <c:pt idx="6">
                  <c:v>0.11492036745194913</c:v>
                </c:pt>
                <c:pt idx="7">
                  <c:v>0.25126744149384977</c:v>
                </c:pt>
                <c:pt idx="8">
                  <c:v>0.11113707409150735</c:v>
                </c:pt>
                <c:pt idx="9">
                  <c:v>0.18538417676730046</c:v>
                </c:pt>
                <c:pt idx="10">
                  <c:v>0.25709543531442858</c:v>
                </c:pt>
                <c:pt idx="11">
                  <c:v>0.18562289225792461</c:v>
                </c:pt>
                <c:pt idx="12">
                  <c:v>0.19848450830480899</c:v>
                </c:pt>
                <c:pt idx="13">
                  <c:v>0.18768857600735961</c:v>
                </c:pt>
                <c:pt idx="14">
                  <c:v>0.19147032304824774</c:v>
                </c:pt>
                <c:pt idx="15">
                  <c:v>0.1826547140005427</c:v>
                </c:pt>
                <c:pt idx="16">
                  <c:v>5.8531521623617626E-2</c:v>
                </c:pt>
                <c:pt idx="17">
                  <c:v>0.19360810032118367</c:v>
                </c:pt>
                <c:pt idx="18">
                  <c:v>0.28297682202160701</c:v>
                </c:pt>
                <c:pt idx="19">
                  <c:v>0.2045015835679535</c:v>
                </c:pt>
                <c:pt idx="20">
                  <c:v>0.27814223931089971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93-42FB-A5D1-EF813BF94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3713304"/>
        <c:axId val="803716584"/>
      </c:barChart>
      <c:catAx>
        <c:axId val="80371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716584"/>
        <c:crosses val="autoZero"/>
        <c:auto val="1"/>
        <c:lblAlgn val="ctr"/>
        <c:lblOffset val="100"/>
        <c:noMultiLvlLbl val="0"/>
      </c:catAx>
      <c:valAx>
        <c:axId val="803716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mmol</a:t>
                </a:r>
                <a:r>
                  <a:rPr lang="en-GB" baseline="0"/>
                  <a:t> Fe(II)/ g SCG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6.6596861347607006E-3"/>
              <c:y val="0.379953812586604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71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371475</xdr:colOff>
      <xdr:row>11</xdr:row>
      <xdr:rowOff>2682</xdr:rowOff>
    </xdr:from>
    <xdr:to>
      <xdr:col>22</xdr:col>
      <xdr:colOff>550036</xdr:colOff>
      <xdr:row>36</xdr:row>
      <xdr:rowOff>120740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1684298</xdr:colOff>
      <xdr:row>53</xdr:row>
      <xdr:rowOff>-1</xdr:rowOff>
    </xdr:from>
    <xdr:to>
      <xdr:col>23</xdr:col>
      <xdr:colOff>581012</xdr:colOff>
      <xdr:row>82</xdr:row>
      <xdr:rowOff>95118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zoomScale="71" zoomScaleNormal="71" workbookViewId="0">
      <selection activeCell="I2" sqref="I2"/>
    </sheetView>
  </sheetViews>
  <sheetFormatPr defaultRowHeight="14.4" x14ac:dyDescent="0.3"/>
  <cols>
    <col min="1" max="1" width="30.44140625" bestFit="1" customWidth="1"/>
    <col min="2" max="2" width="16.109375" customWidth="1"/>
    <col min="4" max="4" width="22.33203125" bestFit="1" customWidth="1"/>
    <col min="5" max="5" width="22.6640625" customWidth="1"/>
    <col min="6" max="6" width="21.88671875" bestFit="1" customWidth="1"/>
    <col min="8" max="8" width="12.44140625" bestFit="1" customWidth="1"/>
    <col min="9" max="9" width="13.109375" bestFit="1" customWidth="1"/>
  </cols>
  <sheetData>
    <row r="1" spans="1:10" x14ac:dyDescent="0.3">
      <c r="A1" t="s">
        <v>48</v>
      </c>
      <c r="B1" t="s">
        <v>0</v>
      </c>
      <c r="F1" t="s">
        <v>1</v>
      </c>
      <c r="G1" t="s">
        <v>3</v>
      </c>
      <c r="H1" t="s">
        <v>4</v>
      </c>
      <c r="I1" t="s">
        <v>33</v>
      </c>
      <c r="J1" t="s">
        <v>42</v>
      </c>
    </row>
    <row r="2" spans="1:10" x14ac:dyDescent="0.3">
      <c r="A2">
        <v>1</v>
      </c>
      <c r="B2">
        <v>0.17799999999999999</v>
      </c>
      <c r="C2">
        <v>0.17399999999999999</v>
      </c>
      <c r="D2">
        <v>0.18</v>
      </c>
      <c r="E2">
        <v>0.182</v>
      </c>
      <c r="F2">
        <f>AVERAGE(B2:E2)</f>
        <v>0.17849999999999999</v>
      </c>
      <c r="G2">
        <f>STDEV(B2:E2)</f>
        <v>3.4156502553198691E-3</v>
      </c>
      <c r="H2">
        <f>F2-F14</f>
        <v>5.9249999999999983E-2</v>
      </c>
      <c r="I2">
        <f>((A2*55.845)/1000)</f>
        <v>5.5844999999999999E-2</v>
      </c>
    </row>
    <row r="3" spans="1:10" x14ac:dyDescent="0.3">
      <c r="A3">
        <v>2</v>
      </c>
      <c r="B3">
        <v>0.23200000000000001</v>
      </c>
      <c r="C3">
        <v>0.25600000000000001</v>
      </c>
      <c r="D3">
        <v>0.249</v>
      </c>
      <c r="E3">
        <v>0.25700000000000001</v>
      </c>
      <c r="F3">
        <f t="shared" ref="F3:F5" si="0">AVERAGE(B3:E3)</f>
        <v>0.2485</v>
      </c>
      <c r="G3">
        <f t="shared" ref="G3:G9" si="1">STDEV(B3:E3)</f>
        <v>1.156143013068308E-2</v>
      </c>
      <c r="H3">
        <f>F3-F14</f>
        <v>0.12924999999999998</v>
      </c>
      <c r="I3">
        <f>((A3*55.845)/1000)</f>
        <v>0.11169</v>
      </c>
    </row>
    <row r="4" spans="1:10" x14ac:dyDescent="0.3">
      <c r="A4">
        <v>3</v>
      </c>
      <c r="B4">
        <v>0.31900000000000001</v>
      </c>
      <c r="C4">
        <v>0.307</v>
      </c>
      <c r="D4">
        <v>0.30299999999999999</v>
      </c>
      <c r="E4">
        <v>0.34699999999999998</v>
      </c>
      <c r="F4">
        <f t="shared" si="0"/>
        <v>0.31900000000000001</v>
      </c>
      <c r="G4">
        <f t="shared" si="1"/>
        <v>1.9866219234335111E-2</v>
      </c>
      <c r="H4">
        <f>F4-F14</f>
        <v>0.19974999999999998</v>
      </c>
      <c r="I4">
        <f t="shared" ref="I4:I9" si="2">((A4*55.845)/1000)</f>
        <v>0.16753499999999999</v>
      </c>
    </row>
    <row r="5" spans="1:10" x14ac:dyDescent="0.3">
      <c r="A5">
        <v>5</v>
      </c>
      <c r="B5">
        <v>0.41699999999999998</v>
      </c>
      <c r="C5">
        <v>0.437</v>
      </c>
      <c r="D5">
        <v>0.44900000000000001</v>
      </c>
      <c r="E5">
        <v>0.438</v>
      </c>
      <c r="F5">
        <f t="shared" si="0"/>
        <v>0.43524999999999997</v>
      </c>
      <c r="G5">
        <f t="shared" si="1"/>
        <v>1.3326039671760461E-2</v>
      </c>
      <c r="H5">
        <f>F5-F14</f>
        <v>0.31599999999999995</v>
      </c>
      <c r="I5">
        <f t="shared" si="2"/>
        <v>0.279225</v>
      </c>
    </row>
    <row r="6" spans="1:10" x14ac:dyDescent="0.3">
      <c r="A6">
        <v>6</v>
      </c>
      <c r="B6">
        <v>0.498</v>
      </c>
      <c r="C6">
        <v>0.55700000000000005</v>
      </c>
      <c r="D6">
        <v>0.54</v>
      </c>
      <c r="F6">
        <f>AVERAGE(B6, D6)</f>
        <v>0.51900000000000002</v>
      </c>
      <c r="G6">
        <f>STDEV(B6:E6)</f>
        <v>3.0369941279714964E-2</v>
      </c>
      <c r="H6">
        <f>F6-F14</f>
        <v>0.39974999999999999</v>
      </c>
      <c r="I6">
        <f t="shared" si="2"/>
        <v>0.33506999999999998</v>
      </c>
    </row>
    <row r="7" spans="1:10" x14ac:dyDescent="0.3">
      <c r="A7">
        <v>8</v>
      </c>
      <c r="B7">
        <v>0.54800000000000004</v>
      </c>
      <c r="C7">
        <v>0.54200000000000004</v>
      </c>
      <c r="D7">
        <v>0.50700000000000001</v>
      </c>
      <c r="E7">
        <v>0.50800000000000001</v>
      </c>
      <c r="F7">
        <f>AVERAGE(B7, C7)</f>
        <v>0.54500000000000004</v>
      </c>
      <c r="G7">
        <f t="shared" si="1"/>
        <v>2.1792582836062998E-2</v>
      </c>
      <c r="H7">
        <f>F7-F14</f>
        <v>0.42575000000000002</v>
      </c>
      <c r="I7">
        <f t="shared" si="2"/>
        <v>0.44675999999999999</v>
      </c>
    </row>
    <row r="8" spans="1:10" x14ac:dyDescent="0.3">
      <c r="A8">
        <v>10</v>
      </c>
      <c r="B8">
        <v>0.71799999999999997</v>
      </c>
      <c r="C8">
        <v>0.69299999999999995</v>
      </c>
      <c r="D8">
        <v>0.66400000000000003</v>
      </c>
      <c r="E8">
        <v>0.70599999999999996</v>
      </c>
      <c r="F8">
        <f>AVERAGE(B8, C8, E8)</f>
        <v>0.70566666666666666</v>
      </c>
      <c r="G8">
        <f t="shared" si="1"/>
        <v>2.3200215516240331E-2</v>
      </c>
      <c r="H8">
        <f t="shared" ref="H8:H9" si="3">F8-F15</f>
        <v>0.70566666666666666</v>
      </c>
      <c r="I8">
        <f t="shared" si="2"/>
        <v>0.55845</v>
      </c>
    </row>
    <row r="9" spans="1:10" x14ac:dyDescent="0.3">
      <c r="A9">
        <v>20</v>
      </c>
      <c r="B9">
        <v>0.79500000000000004</v>
      </c>
      <c r="D9">
        <v>0.80700000000000005</v>
      </c>
      <c r="E9">
        <v>0.81499999999999995</v>
      </c>
      <c r="F9">
        <f>AVERAGE(B9, D9, E9)</f>
        <v>0.80566666666666664</v>
      </c>
      <c r="G9">
        <f t="shared" si="1"/>
        <v>1.0066445913694291E-2</v>
      </c>
      <c r="H9">
        <f t="shared" si="3"/>
        <v>0.80566666666666664</v>
      </c>
      <c r="I9">
        <f t="shared" si="2"/>
        <v>1.1169</v>
      </c>
    </row>
    <row r="10" spans="1:10" x14ac:dyDescent="0.3">
      <c r="A10">
        <v>50</v>
      </c>
      <c r="B10">
        <v>0.93200000000000005</v>
      </c>
      <c r="C10">
        <v>0.92100000000000004</v>
      </c>
      <c r="D10">
        <v>0.92800000000000005</v>
      </c>
      <c r="E10">
        <v>0.95899999999999996</v>
      </c>
      <c r="F10">
        <f>AVERAGE(B10:E10)</f>
        <v>0.93500000000000005</v>
      </c>
      <c r="G10">
        <f>STDEV(B10:E10)</f>
        <v>1.663329993316616E-2</v>
      </c>
      <c r="H10">
        <f>F10-F14</f>
        <v>0.81575000000000009</v>
      </c>
      <c r="I10">
        <f>((A10*55.845)/1000)</f>
        <v>2.7922500000000001</v>
      </c>
    </row>
    <row r="11" spans="1:10" x14ac:dyDescent="0.3">
      <c r="A11">
        <v>100</v>
      </c>
      <c r="B11">
        <v>0.97499999999999998</v>
      </c>
      <c r="C11">
        <v>0.95899999999999996</v>
      </c>
      <c r="D11">
        <v>0.997</v>
      </c>
      <c r="E11">
        <v>0.92800000000000005</v>
      </c>
      <c r="F11">
        <f>AVERAGE(B11:E11)</f>
        <v>0.96475</v>
      </c>
      <c r="G11">
        <f>STDEV(B11:E11)</f>
        <v>2.9033027170218842E-2</v>
      </c>
      <c r="H11">
        <f>F11-F14</f>
        <v>0.84550000000000003</v>
      </c>
      <c r="I11">
        <f>((A11*55.845)/1000)</f>
        <v>5.5845000000000002</v>
      </c>
    </row>
    <row r="14" spans="1:10" x14ac:dyDescent="0.3">
      <c r="A14" t="s">
        <v>2</v>
      </c>
      <c r="B14">
        <v>0.11600000000000001</v>
      </c>
      <c r="C14">
        <v>0.11700000000000001</v>
      </c>
      <c r="D14">
        <v>0.11700000000000001</v>
      </c>
      <c r="E14">
        <v>0.127</v>
      </c>
      <c r="F14">
        <f>AVERAGE(B14:E14)</f>
        <v>0.11925000000000001</v>
      </c>
      <c r="G14">
        <f>STDEV(B14:E14)</f>
        <v>5.1881274720911247E-3</v>
      </c>
    </row>
    <row r="19" spans="1:5" x14ac:dyDescent="0.3">
      <c r="A19" s="2" t="s">
        <v>5</v>
      </c>
      <c r="B19">
        <f t="array" ref="B19:C23">LINEST(H2:H8,A2:A8,FALSE,TRUE)</f>
        <v>6.4260111576011136E-2</v>
      </c>
      <c r="C19">
        <v>0</v>
      </c>
      <c r="D19" s="2" t="s">
        <v>10</v>
      </c>
    </row>
    <row r="20" spans="1:5" x14ac:dyDescent="0.3">
      <c r="A20" s="2" t="s">
        <v>6</v>
      </c>
      <c r="B20">
        <v>2.9028016742966125E-3</v>
      </c>
      <c r="C20" t="e">
        <v>#N/A</v>
      </c>
      <c r="D20" s="2" t="s">
        <v>11</v>
      </c>
    </row>
    <row r="21" spans="1:5" x14ac:dyDescent="0.3">
      <c r="A21" s="2" t="s">
        <v>7</v>
      </c>
      <c r="B21">
        <v>0.98790466047450542</v>
      </c>
      <c r="C21">
        <v>4.4876224851378856E-2</v>
      </c>
      <c r="D21" s="2" t="s">
        <v>12</v>
      </c>
    </row>
    <row r="22" spans="1:5" x14ac:dyDescent="0.3">
      <c r="A22" s="2" t="s">
        <v>8</v>
      </c>
      <c r="B22">
        <v>490.05883219344281</v>
      </c>
      <c r="C22">
        <v>6</v>
      </c>
      <c r="D22" s="2" t="s">
        <v>13</v>
      </c>
    </row>
    <row r="23" spans="1:5" x14ac:dyDescent="0.3">
      <c r="A23" s="2" t="s">
        <v>9</v>
      </c>
      <c r="B23">
        <v>0.98691750360297537</v>
      </c>
      <c r="C23">
        <v>1.2083253341469079E-2</v>
      </c>
      <c r="D23" s="2" t="s">
        <v>14</v>
      </c>
    </row>
    <row r="26" spans="1:5" x14ac:dyDescent="0.3">
      <c r="A26" s="3" t="s">
        <v>17</v>
      </c>
      <c r="B26">
        <f>B20</f>
        <v>2.9028016742966125E-3</v>
      </c>
      <c r="D26" t="s">
        <v>43</v>
      </c>
      <c r="E26" t="s">
        <v>27</v>
      </c>
    </row>
    <row r="27" spans="1:5" x14ac:dyDescent="0.3">
      <c r="A27" s="3" t="s">
        <v>20</v>
      </c>
      <c r="B27">
        <f>B19</f>
        <v>6.4260111576011136E-2</v>
      </c>
      <c r="D27">
        <f>B2-0.415714286</f>
        <v>-0.237714286</v>
      </c>
      <c r="E27">
        <f>D27^2</f>
        <v>5.6508081768489794E-2</v>
      </c>
    </row>
    <row r="28" spans="1:5" x14ac:dyDescent="0.3">
      <c r="A28" s="3" t="s">
        <v>21</v>
      </c>
      <c r="B28">
        <f>1/4</f>
        <v>0.25</v>
      </c>
      <c r="D28">
        <f t="shared" ref="D28:D31" si="4">B3-0.415714286</f>
        <v>-0.18371428599999998</v>
      </c>
      <c r="E28">
        <f t="shared" ref="E28:E33" si="5">D28^2</f>
        <v>3.3750938880489786E-2</v>
      </c>
    </row>
    <row r="29" spans="1:5" x14ac:dyDescent="0.3">
      <c r="A29" s="3" t="s">
        <v>22</v>
      </c>
      <c r="B29">
        <f>1/7</f>
        <v>0.14285714285714285</v>
      </c>
      <c r="D29">
        <f t="shared" si="4"/>
        <v>-9.6714285999999983E-2</v>
      </c>
      <c r="E29">
        <f t="shared" si="5"/>
        <v>9.3536531164897935E-3</v>
      </c>
    </row>
    <row r="30" spans="1:5" x14ac:dyDescent="0.3">
      <c r="A30" s="3" t="s">
        <v>23</v>
      </c>
      <c r="B30">
        <f>AVERAGE(H2:H8)</f>
        <v>0.31934523809523807</v>
      </c>
      <c r="D30">
        <f t="shared" si="4"/>
        <v>1.2857139999999934E-3</v>
      </c>
      <c r="E30">
        <f t="shared" si="5"/>
        <v>1.6530604897959829E-6</v>
      </c>
    </row>
    <row r="31" spans="1:5" x14ac:dyDescent="0.3">
      <c r="A31" s="3" t="s">
        <v>24</v>
      </c>
      <c r="B31">
        <f>AVERAGE(B2:B8)</f>
        <v>0.41571428571428576</v>
      </c>
      <c r="D31">
        <f t="shared" si="4"/>
        <v>8.228571400000001E-2</v>
      </c>
      <c r="E31">
        <f t="shared" si="5"/>
        <v>6.7709387284897978E-3</v>
      </c>
    </row>
    <row r="32" spans="1:5" x14ac:dyDescent="0.3">
      <c r="A32" s="3" t="s">
        <v>28</v>
      </c>
      <c r="B32">
        <f>SUM(E27:E36)</f>
        <v>0.12532877568293879</v>
      </c>
      <c r="D32">
        <f>B7-0.415714286</f>
        <v>0.13228571400000005</v>
      </c>
      <c r="E32">
        <f t="shared" si="5"/>
        <v>1.7499510128489812E-2</v>
      </c>
    </row>
    <row r="33" spans="1:9" x14ac:dyDescent="0.3">
      <c r="A33" s="3" t="s">
        <v>25</v>
      </c>
      <c r="B33">
        <f>C21</f>
        <v>4.4876224851378856E-2</v>
      </c>
      <c r="D33">
        <f>B8-0.68</f>
        <v>3.7999999999999923E-2</v>
      </c>
      <c r="E33">
        <f t="shared" si="5"/>
        <v>1.4439999999999941E-3</v>
      </c>
    </row>
    <row r="35" spans="1:9" x14ac:dyDescent="0.3">
      <c r="A35" s="3" t="s">
        <v>26</v>
      </c>
      <c r="B35">
        <f>B26/B27</f>
        <v>4.5172683381711619E-2</v>
      </c>
    </row>
    <row r="36" spans="1:9" x14ac:dyDescent="0.3">
      <c r="A36" s="3" t="s">
        <v>30</v>
      </c>
    </row>
    <row r="37" spans="1:9" x14ac:dyDescent="0.3">
      <c r="A37" s="3" t="s">
        <v>31</v>
      </c>
    </row>
    <row r="38" spans="1:9" x14ac:dyDescent="0.3">
      <c r="A38" s="3" t="s">
        <v>32</v>
      </c>
    </row>
    <row r="39" spans="1:9" x14ac:dyDescent="0.3">
      <c r="D39" s="5"/>
      <c r="E39" s="5"/>
    </row>
    <row r="40" spans="1:9" x14ac:dyDescent="0.3">
      <c r="D40" s="5"/>
      <c r="E40" s="5"/>
    </row>
    <row r="41" spans="1:9" x14ac:dyDescent="0.3">
      <c r="D41" s="5"/>
      <c r="E41" s="5"/>
    </row>
    <row r="42" spans="1:9" ht="15" thickBot="1" x14ac:dyDescent="0.35">
      <c r="D42" s="6"/>
      <c r="E42" s="6"/>
    </row>
    <row r="44" spans="1:9" ht="15" thickBot="1" x14ac:dyDescent="0.35"/>
    <row r="45" spans="1:9" x14ac:dyDescent="0.3">
      <c r="D45" s="7"/>
      <c r="E45" s="7"/>
      <c r="F45" s="7"/>
      <c r="G45" s="7"/>
      <c r="H45" s="7"/>
      <c r="I45" s="7"/>
    </row>
    <row r="46" spans="1:9" x14ac:dyDescent="0.3">
      <c r="D46" s="5"/>
      <c r="E46" s="5"/>
      <c r="F46" s="5"/>
      <c r="G46" s="5"/>
      <c r="H46" s="5"/>
      <c r="I46" s="5"/>
    </row>
    <row r="47" spans="1:9" x14ac:dyDescent="0.3">
      <c r="D47" s="5"/>
      <c r="E47" s="5"/>
      <c r="F47" s="5"/>
      <c r="G47" s="5"/>
      <c r="H47" s="5"/>
      <c r="I47" s="5"/>
    </row>
    <row r="48" spans="1:9" ht="15" thickBot="1" x14ac:dyDescent="0.35">
      <c r="D48" s="6"/>
      <c r="E48" s="6"/>
      <c r="F48" s="6"/>
      <c r="G48" s="6"/>
      <c r="H48" s="6"/>
      <c r="I48" s="6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6"/>
  <sheetViews>
    <sheetView tabSelected="1" topLeftCell="K1" zoomScale="42" zoomScaleNormal="42" workbookViewId="0">
      <selection activeCell="M18" sqref="M18"/>
    </sheetView>
  </sheetViews>
  <sheetFormatPr defaultRowHeight="14.4" x14ac:dyDescent="0.3"/>
  <cols>
    <col min="1" max="1" width="30.44140625" bestFit="1" customWidth="1"/>
    <col min="2" max="2" width="12.6640625" bestFit="1" customWidth="1"/>
    <col min="3" max="3" width="19.33203125" customWidth="1"/>
    <col min="4" max="4" width="23.109375" customWidth="1"/>
    <col min="5" max="5" width="12" bestFit="1" customWidth="1"/>
    <col min="6" max="6" width="30.6640625" customWidth="1"/>
    <col min="7" max="7" width="17.6640625" customWidth="1"/>
    <col min="8" max="8" width="18.109375" customWidth="1"/>
    <col min="9" max="9" width="34.33203125" customWidth="1"/>
    <col min="10" max="10" width="31.109375" customWidth="1"/>
    <col min="11" max="11" width="15" customWidth="1"/>
    <col min="12" max="12" width="22.88671875" customWidth="1"/>
    <col min="13" max="13" width="33.33203125" customWidth="1"/>
    <col min="14" max="14" width="25.5546875" customWidth="1"/>
    <col min="15" max="15" width="19.33203125" customWidth="1"/>
    <col min="16" max="16" width="13" bestFit="1" customWidth="1"/>
    <col min="17" max="17" width="16.109375" bestFit="1" customWidth="1"/>
    <col min="18" max="18" width="19.88671875" bestFit="1" customWidth="1"/>
  </cols>
  <sheetData>
    <row r="1" spans="1:18" x14ac:dyDescent="0.3">
      <c r="A1" t="s">
        <v>37</v>
      </c>
      <c r="B1" s="12" t="s">
        <v>38</v>
      </c>
      <c r="C1" s="12"/>
      <c r="D1" s="12"/>
      <c r="E1" s="12"/>
      <c r="F1" t="s">
        <v>39</v>
      </c>
      <c r="G1" t="s">
        <v>3</v>
      </c>
      <c r="H1" t="s">
        <v>40</v>
      </c>
      <c r="I1" t="s">
        <v>49</v>
      </c>
      <c r="J1" s="4" t="s">
        <v>44</v>
      </c>
      <c r="K1" s="4" t="s">
        <v>46</v>
      </c>
      <c r="L1" s="4" t="s">
        <v>36</v>
      </c>
      <c r="M1" s="2" t="s">
        <v>47</v>
      </c>
      <c r="N1" t="str">
        <f t="shared" ref="N1:N8" si="0">L35</f>
        <v>Uconc analyte ±</v>
      </c>
      <c r="O1" t="s">
        <v>53</v>
      </c>
      <c r="P1" t="s">
        <v>60</v>
      </c>
      <c r="Q1" t="s">
        <v>66</v>
      </c>
      <c r="R1" t="s">
        <v>67</v>
      </c>
    </row>
    <row r="2" spans="1:18" x14ac:dyDescent="0.3">
      <c r="A2" t="s">
        <v>69</v>
      </c>
      <c r="B2">
        <v>0.68100000000000005</v>
      </c>
      <c r="C2">
        <v>0.70199999999999996</v>
      </c>
      <c r="D2">
        <v>0.71799999999999997</v>
      </c>
      <c r="E2">
        <v>0.66500000000000004</v>
      </c>
      <c r="F2">
        <f>AVERAGE(B2:E2)</f>
        <v>0.6915</v>
      </c>
      <c r="G2">
        <f>STDEV(B2:E2)</f>
        <v>2.3273733406281531E-2</v>
      </c>
      <c r="H2">
        <f>F2-F32</f>
        <v>0.57225000000000004</v>
      </c>
      <c r="I2">
        <f>H2/'Fe2SO4 calibration'!B19</f>
        <v>8.9052132958577985</v>
      </c>
      <c r="J2" s="4">
        <v>127.379</v>
      </c>
      <c r="K2" s="4">
        <f>J2/1000</f>
        <v>0.12737899999999999</v>
      </c>
      <c r="L2" s="4">
        <v>5.0369999999999999</v>
      </c>
      <c r="M2" s="2">
        <v>0.24159303318465836</v>
      </c>
      <c r="N2">
        <f t="shared" si="0"/>
        <v>5.1975178345308225E-3</v>
      </c>
      <c r="O2">
        <v>8</v>
      </c>
      <c r="P2">
        <f>(I2*55.845)/1000</f>
        <v>0.4973116365071788</v>
      </c>
      <c r="Q2">
        <v>13.491762938197249</v>
      </c>
      <c r="R2">
        <v>17</v>
      </c>
    </row>
    <row r="3" spans="1:18" x14ac:dyDescent="0.3">
      <c r="A3" t="s">
        <v>70</v>
      </c>
      <c r="B3">
        <v>0.83699999999999997</v>
      </c>
      <c r="C3">
        <v>0.79</v>
      </c>
      <c r="D3">
        <v>0.81699999999999995</v>
      </c>
      <c r="E3">
        <v>0.81399999999999995</v>
      </c>
      <c r="F3">
        <f t="shared" ref="F3:F21" si="1">AVERAGE(B3:E3)</f>
        <v>0.8145</v>
      </c>
      <c r="G3">
        <f t="shared" ref="G3:G32" si="2">STDEV(B3:E3)</f>
        <v>1.9261360284258195E-2</v>
      </c>
      <c r="H3">
        <f>F3-F32</f>
        <v>0.69525000000000003</v>
      </c>
      <c r="I3">
        <f>H3/'Fe2SO4 calibration'!B19</f>
        <v>10.819308945295123</v>
      </c>
      <c r="J3" s="4">
        <v>50.088000000000001</v>
      </c>
      <c r="K3" s="4">
        <f t="shared" ref="K3:K22" si="3">J3/1000</f>
        <v>5.0088000000000001E-2</v>
      </c>
      <c r="L3" s="4">
        <v>5.0069999999999997</v>
      </c>
      <c r="M3" s="2">
        <v>0.11611005150680848</v>
      </c>
      <c r="N3">
        <f t="shared" si="0"/>
        <v>2.9117884486715836E-3</v>
      </c>
      <c r="O3">
        <v>3</v>
      </c>
      <c r="P3">
        <f t="shared" ref="P3:P22" si="4">(I3*55.845)/1000</f>
        <v>0.60420430805000613</v>
      </c>
      <c r="Q3">
        <v>6.4841658263977191</v>
      </c>
      <c r="R3">
        <v>8</v>
      </c>
    </row>
    <row r="4" spans="1:18" x14ac:dyDescent="0.3">
      <c r="A4" t="s">
        <v>71</v>
      </c>
      <c r="B4">
        <v>0.77900000000000003</v>
      </c>
      <c r="C4">
        <v>0.80300000000000005</v>
      </c>
      <c r="D4">
        <v>0.74299999999999999</v>
      </c>
      <c r="E4">
        <v>0.72399999999999998</v>
      </c>
      <c r="F4">
        <f t="shared" si="1"/>
        <v>0.76225000000000009</v>
      </c>
      <c r="G4">
        <f t="shared" si="2"/>
        <v>3.5471819801075929E-2</v>
      </c>
      <c r="H4">
        <f>F4-F32</f>
        <v>0.64300000000000013</v>
      </c>
      <c r="I4">
        <f>H4/'Fe2SO4 calibration'!B19</f>
        <v>10.006207338115448</v>
      </c>
      <c r="J4">
        <v>87.277000000000001</v>
      </c>
      <c r="K4" s="4">
        <f t="shared" si="3"/>
        <v>8.7277000000000007E-2</v>
      </c>
      <c r="L4" s="4">
        <v>5.0359999999999996</v>
      </c>
      <c r="M4" s="2">
        <v>0.18603633793745636</v>
      </c>
      <c r="N4">
        <f t="shared" si="0"/>
        <v>4.406452209982854E-3</v>
      </c>
      <c r="O4">
        <v>18</v>
      </c>
      <c r="P4">
        <f t="shared" si="4"/>
        <v>0.55879664879705715</v>
      </c>
      <c r="Q4">
        <v>10.389199292117247</v>
      </c>
      <c r="R4">
        <v>2</v>
      </c>
    </row>
    <row r="5" spans="1:18" x14ac:dyDescent="0.3">
      <c r="A5" t="s">
        <v>72</v>
      </c>
      <c r="B5">
        <v>0.80300000000000005</v>
      </c>
      <c r="C5">
        <v>0.752</v>
      </c>
      <c r="D5">
        <v>0.77200000000000002</v>
      </c>
      <c r="E5">
        <v>0.755</v>
      </c>
      <c r="F5">
        <f t="shared" si="1"/>
        <v>0.77049999999999996</v>
      </c>
      <c r="G5">
        <f t="shared" si="2"/>
        <v>2.3388031127053021E-2</v>
      </c>
      <c r="H5">
        <f>F5-F32</f>
        <v>0.65125</v>
      </c>
      <c r="I5">
        <f>H5/'Fe2SO4 calibration'!B19</f>
        <v>10.134591802406975</v>
      </c>
      <c r="J5" s="4">
        <v>87.522999999999996</v>
      </c>
      <c r="K5" s="4">
        <f t="shared" si="3"/>
        <v>8.752299999999999E-2</v>
      </c>
      <c r="L5" s="4">
        <v>5.0149999999999997</v>
      </c>
      <c r="M5" s="2">
        <v>0.18974560057895626</v>
      </c>
      <c r="N5">
        <f t="shared" si="0"/>
        <v>4.538183807379542E-3</v>
      </c>
      <c r="O5">
        <v>4</v>
      </c>
      <c r="P5">
        <f t="shared" si="4"/>
        <v>0.56596627920541753</v>
      </c>
      <c r="Q5">
        <v>10.596343064331814</v>
      </c>
      <c r="R5">
        <v>4</v>
      </c>
    </row>
    <row r="6" spans="1:18" x14ac:dyDescent="0.3">
      <c r="J6" s="4"/>
      <c r="K6" s="4"/>
      <c r="L6" s="4"/>
      <c r="M6" s="2"/>
    </row>
    <row r="7" spans="1:18" x14ac:dyDescent="0.3">
      <c r="A7" t="s">
        <v>74</v>
      </c>
      <c r="B7">
        <v>0.97599999999999998</v>
      </c>
      <c r="C7">
        <v>0.89900000000000002</v>
      </c>
      <c r="D7">
        <v>0.92700000000000005</v>
      </c>
      <c r="E7">
        <v>0.92600000000000005</v>
      </c>
      <c r="F7">
        <f t="shared" si="1"/>
        <v>0.93200000000000005</v>
      </c>
      <c r="G7">
        <f t="shared" si="2"/>
        <v>3.2072833779799768E-2</v>
      </c>
      <c r="H7">
        <f>F7-F32</f>
        <v>0.81275000000000008</v>
      </c>
      <c r="I7">
        <f>H7/'Fe2SO4 calibration'!B19</f>
        <v>12.647814951871432</v>
      </c>
      <c r="J7" s="4">
        <v>49.604999999999997</v>
      </c>
      <c r="K7" s="4">
        <f t="shared" si="3"/>
        <v>4.9604999999999996E-2</v>
      </c>
      <c r="L7" s="4">
        <v>5.0010000000000003</v>
      </c>
      <c r="M7" s="2">
        <v>0.13458550808479774</v>
      </c>
      <c r="N7">
        <f t="shared" si="0"/>
        <v>3.7223266514001285E-3</v>
      </c>
      <c r="O7">
        <v>16</v>
      </c>
      <c r="P7">
        <f t="shared" si="4"/>
        <v>0.7063172259872601</v>
      </c>
      <c r="Q7">
        <v>7.5159276989955286</v>
      </c>
      <c r="R7">
        <v>18</v>
      </c>
    </row>
    <row r="8" spans="1:18" x14ac:dyDescent="0.3">
      <c r="A8" t="s">
        <v>75</v>
      </c>
      <c r="B8">
        <v>0.84</v>
      </c>
      <c r="C8">
        <v>0.77200000000000002</v>
      </c>
      <c r="D8">
        <v>0.81699999999999995</v>
      </c>
      <c r="E8">
        <v>0.80600000000000005</v>
      </c>
      <c r="F8">
        <f t="shared" si="1"/>
        <v>0.80875000000000008</v>
      </c>
      <c r="G8">
        <f t="shared" si="2"/>
        <v>2.8300471138598828E-2</v>
      </c>
      <c r="H8">
        <f>F8-F32</f>
        <v>0.68950000000000011</v>
      </c>
      <c r="I8">
        <f>H8/'Fe2SO4 calibration'!B19</f>
        <v>10.729828864122242</v>
      </c>
      <c r="J8">
        <v>50.118000000000002</v>
      </c>
      <c r="K8" s="4">
        <f t="shared" si="3"/>
        <v>5.0118000000000003E-2</v>
      </c>
      <c r="L8" s="4">
        <v>5.0199999999999996</v>
      </c>
      <c r="M8" s="2">
        <v>0.11492036745194913</v>
      </c>
      <c r="N8">
        <f t="shared" si="0"/>
        <v>2.8652929099499107E-3</v>
      </c>
      <c r="O8">
        <v>12</v>
      </c>
      <c r="P8">
        <f t="shared" si="4"/>
        <v>0.59920729291690655</v>
      </c>
      <c r="Q8">
        <v>6.4177279203540989</v>
      </c>
      <c r="R8">
        <v>14</v>
      </c>
    </row>
    <row r="9" spans="1:18" x14ac:dyDescent="0.3">
      <c r="A9" t="s">
        <v>76</v>
      </c>
      <c r="B9">
        <v>0.72699999999999998</v>
      </c>
      <c r="C9">
        <v>0.68100000000000005</v>
      </c>
      <c r="D9">
        <v>0.77900000000000003</v>
      </c>
      <c r="E9">
        <v>0.71499999999999997</v>
      </c>
      <c r="F9">
        <f t="shared" si="1"/>
        <v>0.72549999999999992</v>
      </c>
      <c r="G9">
        <f t="shared" si="2"/>
        <v>4.0640702093672869E-2</v>
      </c>
      <c r="H9">
        <f>F9-F32</f>
        <v>0.60624999999999996</v>
      </c>
      <c r="I9">
        <f>H9/'Fe2SO4 calibration'!B19</f>
        <v>9.4343129062713675</v>
      </c>
      <c r="J9">
        <v>125.05</v>
      </c>
      <c r="K9" s="4">
        <f t="shared" si="3"/>
        <v>0.12504999999999999</v>
      </c>
      <c r="L9">
        <v>5.0369999999999999</v>
      </c>
      <c r="M9" s="2">
        <v>0.25126744149384977</v>
      </c>
      <c r="N9">
        <f t="shared" ref="N9:N22" si="5">L43</f>
        <v>5.678800484372578E-3</v>
      </c>
      <c r="O9">
        <v>2</v>
      </c>
      <c r="P9">
        <f t="shared" si="4"/>
        <v>0.52685920425072452</v>
      </c>
      <c r="Q9">
        <v>14.032030270224041</v>
      </c>
      <c r="R9">
        <v>1</v>
      </c>
    </row>
    <row r="10" spans="1:18" x14ac:dyDescent="0.3">
      <c r="A10" t="s">
        <v>77</v>
      </c>
      <c r="B10">
        <v>0.81699999999999995</v>
      </c>
      <c r="C10">
        <v>0.77400000000000002</v>
      </c>
      <c r="D10">
        <v>0.73799999999999999</v>
      </c>
      <c r="E10">
        <v>0.80600000000000005</v>
      </c>
      <c r="F10">
        <f t="shared" si="1"/>
        <v>0.78374999999999995</v>
      </c>
      <c r="G10">
        <f t="shared" si="2"/>
        <v>3.5537538838060607E-2</v>
      </c>
      <c r="H10">
        <f>F10-F32</f>
        <v>0.66449999999999998</v>
      </c>
      <c r="I10">
        <f>H10/'Fe2SO4 calibration'!B19</f>
        <v>10.340785032935791</v>
      </c>
      <c r="J10">
        <v>50.542000000000002</v>
      </c>
      <c r="K10" s="4">
        <f t="shared" si="3"/>
        <v>5.0542000000000004E-2</v>
      </c>
      <c r="L10">
        <v>5.0449999999999999</v>
      </c>
      <c r="M10" s="2">
        <v>0.11113707409150735</v>
      </c>
      <c r="N10">
        <f t="shared" si="5"/>
        <v>2.6983375765517268E-3</v>
      </c>
      <c r="O10">
        <v>5</v>
      </c>
      <c r="P10">
        <f t="shared" si="4"/>
        <v>0.5774811401642993</v>
      </c>
      <c r="Q10">
        <v>6.2064499026402284</v>
      </c>
      <c r="R10">
        <v>11</v>
      </c>
    </row>
    <row r="11" spans="1:18" x14ac:dyDescent="0.3">
      <c r="A11" t="s">
        <v>78</v>
      </c>
      <c r="B11">
        <v>0.73599999999999999</v>
      </c>
      <c r="C11">
        <v>0.72199999999999998</v>
      </c>
      <c r="D11">
        <v>0.80300000000000005</v>
      </c>
      <c r="E11">
        <v>0.747</v>
      </c>
      <c r="F11">
        <f t="shared" si="1"/>
        <v>0.752</v>
      </c>
      <c r="G11">
        <f t="shared" si="2"/>
        <v>3.550586805961331E-2</v>
      </c>
      <c r="H11">
        <f>F11-F32</f>
        <v>0.63275000000000003</v>
      </c>
      <c r="I11">
        <f>H11/'Fe2SO4 calibration'!B19</f>
        <v>9.8466993673290037</v>
      </c>
      <c r="J11">
        <v>88.415000000000006</v>
      </c>
      <c r="K11" s="4">
        <f t="shared" si="3"/>
        <v>8.8415000000000007E-2</v>
      </c>
      <c r="L11">
        <v>5.0380000000000003</v>
      </c>
      <c r="M11" s="2">
        <v>0.18538417676730046</v>
      </c>
      <c r="N11">
        <f t="shared" si="5"/>
        <v>4.336588499694905E-3</v>
      </c>
      <c r="O11">
        <v>20</v>
      </c>
      <c r="P11">
        <f t="shared" si="4"/>
        <v>0.54988892616848817</v>
      </c>
      <c r="Q11">
        <v>10.352779351569893</v>
      </c>
      <c r="R11">
        <v>13</v>
      </c>
    </row>
    <row r="12" spans="1:18" x14ac:dyDescent="0.3">
      <c r="A12" t="s">
        <v>79</v>
      </c>
      <c r="B12">
        <v>0.72399999999999998</v>
      </c>
      <c r="C12">
        <v>0.67900000000000005</v>
      </c>
      <c r="D12">
        <v>0.751</v>
      </c>
      <c r="E12">
        <v>0.76700000000000002</v>
      </c>
      <c r="F12">
        <f t="shared" si="1"/>
        <v>0.73024999999999995</v>
      </c>
      <c r="G12">
        <f t="shared" si="2"/>
        <v>3.8499999999999986E-2</v>
      </c>
      <c r="H12">
        <f>F12-F32</f>
        <v>0.61099999999999999</v>
      </c>
      <c r="I12">
        <f>H12/'Fe2SO4 calibration'!B19</f>
        <v>9.5082312341967921</v>
      </c>
      <c r="J12">
        <v>126.12400000000001</v>
      </c>
      <c r="K12" s="4">
        <f t="shared" si="3"/>
        <v>0.12612400000000001</v>
      </c>
      <c r="L12">
        <v>5.0039999999999996</v>
      </c>
      <c r="M12" s="2">
        <v>0.25709543531442858</v>
      </c>
      <c r="N12">
        <f t="shared" si="5"/>
        <v>5.8479174556377422E-3</v>
      </c>
      <c r="O12">
        <v>9</v>
      </c>
      <c r="P12">
        <f t="shared" si="4"/>
        <v>0.5309871732737198</v>
      </c>
      <c r="Q12">
        <v>14.357494585134262</v>
      </c>
      <c r="R12">
        <v>12</v>
      </c>
    </row>
    <row r="13" spans="1:18" x14ac:dyDescent="0.3">
      <c r="A13" t="s">
        <v>80</v>
      </c>
      <c r="B13">
        <v>0.78500000000000003</v>
      </c>
      <c r="C13">
        <v>0.72899999999999998</v>
      </c>
      <c r="D13">
        <v>0.745</v>
      </c>
      <c r="E13">
        <v>0.747</v>
      </c>
      <c r="F13">
        <f t="shared" si="1"/>
        <v>0.75149999999999995</v>
      </c>
      <c r="G13">
        <f t="shared" si="2"/>
        <v>2.374166520416518E-2</v>
      </c>
      <c r="H13">
        <f>F13-F32</f>
        <v>0.63224999999999998</v>
      </c>
      <c r="I13">
        <f>H13/'Fe2SO4 calibration'!B19</f>
        <v>9.8389184907052734</v>
      </c>
      <c r="J13">
        <v>88.423000000000002</v>
      </c>
      <c r="K13" s="4">
        <f t="shared" si="3"/>
        <v>8.8423000000000002E-2</v>
      </c>
      <c r="L13">
        <v>5.0279999999999996</v>
      </c>
      <c r="M13" s="2">
        <v>0.18562289225792461</v>
      </c>
      <c r="N13">
        <f t="shared" si="5"/>
        <v>1.2636139900607619E-2</v>
      </c>
      <c r="O13">
        <v>11</v>
      </c>
      <c r="P13">
        <f t="shared" si="4"/>
        <v>0.54945440311343596</v>
      </c>
      <c r="Q13">
        <v>10.3661104181438</v>
      </c>
      <c r="R13">
        <v>7</v>
      </c>
    </row>
    <row r="14" spans="1:18" x14ac:dyDescent="0.3">
      <c r="A14" t="s">
        <v>81</v>
      </c>
      <c r="B14">
        <v>0.8</v>
      </c>
      <c r="C14">
        <v>0.754</v>
      </c>
      <c r="D14">
        <v>0.80300000000000005</v>
      </c>
      <c r="E14">
        <v>0.81699999999999995</v>
      </c>
      <c r="F14">
        <f t="shared" si="1"/>
        <v>0.79350000000000009</v>
      </c>
      <c r="G14">
        <f t="shared" si="2"/>
        <v>2.7355681920459101E-2</v>
      </c>
      <c r="H14">
        <f>F14-F32</f>
        <v>0.67425000000000013</v>
      </c>
      <c r="I14">
        <f>H14/'Fe2SO4 calibration'!B19</f>
        <v>10.492512127098509</v>
      </c>
      <c r="J14">
        <v>88.183999999999997</v>
      </c>
      <c r="K14" s="4">
        <f t="shared" si="3"/>
        <v>8.8183999999999998E-2</v>
      </c>
      <c r="L14">
        <v>5.0010000000000003</v>
      </c>
      <c r="M14" s="2">
        <v>0.19848450830480899</v>
      </c>
      <c r="N14">
        <f t="shared" si="5"/>
        <v>4.8705681838626677E-3</v>
      </c>
      <c r="O14">
        <v>10</v>
      </c>
      <c r="P14">
        <f t="shared" si="4"/>
        <v>0.58595433973781619</v>
      </c>
      <c r="Q14">
        <v>11.084367366282057</v>
      </c>
      <c r="R14">
        <v>19</v>
      </c>
    </row>
    <row r="15" spans="1:18" x14ac:dyDescent="0.3">
      <c r="A15" t="s">
        <v>82</v>
      </c>
      <c r="B15">
        <v>0.75700000000000001</v>
      </c>
      <c r="C15">
        <v>0.82</v>
      </c>
      <c r="D15">
        <v>0.78100000000000003</v>
      </c>
      <c r="E15">
        <v>0.70899999999999996</v>
      </c>
      <c r="F15">
        <f t="shared" si="1"/>
        <v>0.76675000000000004</v>
      </c>
      <c r="G15">
        <f t="shared" si="2"/>
        <v>4.6435439052516771E-2</v>
      </c>
      <c r="H15">
        <f>F15-F32</f>
        <v>0.64750000000000008</v>
      </c>
      <c r="I15">
        <f>H15/'Fe2SO4 calibration'!B19</f>
        <v>10.076235227729009</v>
      </c>
      <c r="J15">
        <v>87.527000000000001</v>
      </c>
      <c r="K15" s="4">
        <f t="shared" si="3"/>
        <v>8.7527000000000008E-2</v>
      </c>
      <c r="L15">
        <v>5.0410000000000004</v>
      </c>
      <c r="M15" s="2">
        <v>0.18768857600735961</v>
      </c>
      <c r="N15">
        <f t="shared" si="5"/>
        <v>4.4693624442787268E-3</v>
      </c>
      <c r="O15">
        <v>7</v>
      </c>
      <c r="P15">
        <f t="shared" si="4"/>
        <v>0.56270735629252644</v>
      </c>
      <c r="Q15">
        <v>10.481468527130996</v>
      </c>
      <c r="R15">
        <v>5</v>
      </c>
    </row>
    <row r="16" spans="1:18" x14ac:dyDescent="0.3">
      <c r="A16" t="s">
        <v>83</v>
      </c>
      <c r="B16">
        <v>0.79800000000000004</v>
      </c>
      <c r="C16">
        <v>0.75900000000000001</v>
      </c>
      <c r="D16">
        <v>0.747</v>
      </c>
      <c r="E16">
        <v>0.77700000000000002</v>
      </c>
      <c r="F16">
        <f t="shared" si="1"/>
        <v>0.77024999999999999</v>
      </c>
      <c r="G16">
        <f t="shared" si="2"/>
        <v>2.2231734075415729E-2</v>
      </c>
      <c r="H16">
        <f>F16-F32</f>
        <v>0.65100000000000002</v>
      </c>
      <c r="I16">
        <f>H16/'Fe2SO4 calibration'!B19</f>
        <v>10.13070136409511</v>
      </c>
      <c r="J16">
        <v>88.281999999999996</v>
      </c>
      <c r="K16" s="4">
        <f t="shared" si="3"/>
        <v>8.8281999999999999E-2</v>
      </c>
      <c r="L16">
        <v>5.0110000000000001</v>
      </c>
      <c r="M16" s="2">
        <v>0.19147032304824774</v>
      </c>
      <c r="N16">
        <f t="shared" si="5"/>
        <v>4.5781052219576934E-3</v>
      </c>
      <c r="O16">
        <v>19</v>
      </c>
      <c r="P16">
        <f t="shared" si="4"/>
        <v>0.56574901767789143</v>
      </c>
      <c r="Q16">
        <v>10.692660190629395</v>
      </c>
      <c r="R16">
        <v>16</v>
      </c>
    </row>
    <row r="17" spans="1:18" x14ac:dyDescent="0.3">
      <c r="A17" t="s">
        <v>84</v>
      </c>
      <c r="B17">
        <v>0.745</v>
      </c>
      <c r="C17">
        <v>0.71699999999999997</v>
      </c>
      <c r="D17">
        <v>0.73099999999999998</v>
      </c>
      <c r="E17">
        <v>0.76700000000000002</v>
      </c>
      <c r="F17">
        <f t="shared" si="1"/>
        <v>0.74</v>
      </c>
      <c r="G17">
        <f t="shared" si="2"/>
        <v>2.1322914122292654E-2</v>
      </c>
      <c r="H17">
        <f>F17-F32</f>
        <v>0.62075000000000002</v>
      </c>
      <c r="I17">
        <f>H17/'Fe2SO4 calibration'!B19</f>
        <v>9.6599583283595081</v>
      </c>
      <c r="J17">
        <v>88.197999999999993</v>
      </c>
      <c r="K17" s="4">
        <f t="shared" si="3"/>
        <v>8.8197999999999999E-2</v>
      </c>
      <c r="L17">
        <v>5.0039999999999996</v>
      </c>
      <c r="M17" s="2">
        <v>0.1826547140005427</v>
      </c>
      <c r="N17">
        <f t="shared" si="5"/>
        <v>4.2083331209432362E-3</v>
      </c>
      <c r="O17">
        <v>15</v>
      </c>
      <c r="P17">
        <f t="shared" si="4"/>
        <v>0.53946037284723669</v>
      </c>
      <c r="Q17">
        <v>10.200352503360309</v>
      </c>
      <c r="R17">
        <v>6</v>
      </c>
    </row>
    <row r="18" spans="1:18" x14ac:dyDescent="0.3">
      <c r="A18" t="s">
        <v>85</v>
      </c>
      <c r="B18">
        <v>0.82799999999999996</v>
      </c>
      <c r="C18">
        <v>0.75900000000000001</v>
      </c>
      <c r="D18">
        <v>0.84299999999999997</v>
      </c>
      <c r="E18">
        <v>0.79800000000000004</v>
      </c>
      <c r="F18">
        <f t="shared" si="1"/>
        <v>0.80699999999999994</v>
      </c>
      <c r="G18">
        <f t="shared" si="2"/>
        <v>3.706750598570125E-2</v>
      </c>
      <c r="H18">
        <f>F18-F32</f>
        <v>0.68774999999999997</v>
      </c>
      <c r="I18">
        <f>H18/'Fe2SO4 calibration'!B19</f>
        <v>10.702595795939189</v>
      </c>
      <c r="J18">
        <v>25.53</v>
      </c>
      <c r="K18" s="4">
        <f t="shared" si="3"/>
        <v>2.5530000000000001E-2</v>
      </c>
      <c r="L18">
        <v>5.008</v>
      </c>
      <c r="M18" s="2">
        <v>5.8531521623617626E-2</v>
      </c>
      <c r="N18">
        <f t="shared" si="5"/>
        <v>1.4567526604885787E-3</v>
      </c>
      <c r="O18">
        <v>1</v>
      </c>
      <c r="P18">
        <f t="shared" si="4"/>
        <v>0.59768646222422395</v>
      </c>
      <c r="Q18">
        <v>3.268692825070926</v>
      </c>
      <c r="R18">
        <v>20</v>
      </c>
    </row>
    <row r="19" spans="1:18" x14ac:dyDescent="0.3">
      <c r="A19" t="s">
        <v>86</v>
      </c>
      <c r="B19">
        <v>0.79</v>
      </c>
      <c r="C19">
        <v>0.82499999999999996</v>
      </c>
      <c r="D19">
        <v>0.75900000000000001</v>
      </c>
      <c r="E19">
        <v>0.747</v>
      </c>
      <c r="F19">
        <f t="shared" si="1"/>
        <v>0.78025</v>
      </c>
      <c r="G19">
        <f t="shared" si="2"/>
        <v>3.4903438226054448E-2</v>
      </c>
      <c r="H19">
        <f>F19-F32</f>
        <v>0.66100000000000003</v>
      </c>
      <c r="I19">
        <f>H19/'Fe2SO4 calibration'!B19</f>
        <v>10.286318896569689</v>
      </c>
      <c r="J19">
        <v>87.847000000000008</v>
      </c>
      <c r="K19" s="4">
        <f t="shared" si="3"/>
        <v>8.7847000000000008E-2</v>
      </c>
      <c r="L19">
        <v>5.0069999999999997</v>
      </c>
      <c r="M19" s="2">
        <v>0.19360810032118367</v>
      </c>
      <c r="N19">
        <f t="shared" si="5"/>
        <v>4.6823707102823615E-3</v>
      </c>
      <c r="O19">
        <v>6</v>
      </c>
      <c r="P19">
        <f t="shared" si="4"/>
        <v>0.5744394787789342</v>
      </c>
      <c r="Q19">
        <v>10.812044362436501</v>
      </c>
      <c r="R19">
        <v>3</v>
      </c>
    </row>
    <row r="20" spans="1:18" x14ac:dyDescent="0.3">
      <c r="A20" t="s">
        <v>87</v>
      </c>
      <c r="B20">
        <v>0.69099999999999995</v>
      </c>
      <c r="C20">
        <v>0.66900000000000004</v>
      </c>
      <c r="D20">
        <v>0.66500000000000004</v>
      </c>
      <c r="E20">
        <v>0.70399999999999996</v>
      </c>
      <c r="F20">
        <f t="shared" si="1"/>
        <v>0.68225000000000002</v>
      </c>
      <c r="G20">
        <f t="shared" si="2"/>
        <v>1.8463928798245106E-2</v>
      </c>
      <c r="H20">
        <f>F20-F32</f>
        <v>0.56300000000000006</v>
      </c>
      <c r="I20">
        <f>H20/'Fe2SO4 calibration'!B19</f>
        <v>8.7612670783188129</v>
      </c>
      <c r="J20">
        <v>150.596</v>
      </c>
      <c r="K20" s="4">
        <f t="shared" si="3"/>
        <v>0.15059600000000001</v>
      </c>
      <c r="L20">
        <v>5.0019999999999998</v>
      </c>
      <c r="M20" s="2">
        <v>0.28297682202160701</v>
      </c>
      <c r="N20">
        <f t="shared" si="5"/>
        <v>6.0002201184448083E-3</v>
      </c>
      <c r="O20">
        <v>13</v>
      </c>
      <c r="P20">
        <f t="shared" si="4"/>
        <v>0.48927295998871412</v>
      </c>
      <c r="Q20">
        <v>15.802840625796646</v>
      </c>
      <c r="R20">
        <v>15</v>
      </c>
    </row>
    <row r="21" spans="1:18" x14ac:dyDescent="0.3">
      <c r="A21" t="s">
        <v>88</v>
      </c>
      <c r="B21">
        <v>0.83099999999999996</v>
      </c>
      <c r="C21">
        <v>0.83099999999999996</v>
      </c>
      <c r="D21">
        <v>0.8</v>
      </c>
      <c r="E21">
        <v>0.81399999999999995</v>
      </c>
      <c r="F21">
        <f t="shared" si="1"/>
        <v>0.81899999999999995</v>
      </c>
      <c r="G21">
        <f t="shared" si="2"/>
        <v>1.4988884770611376E-2</v>
      </c>
      <c r="H21">
        <f>F21-F32</f>
        <v>0.69974999999999998</v>
      </c>
      <c r="I21">
        <f>H21/'Fe2SO4 calibration'!B19</f>
        <v>10.889336834908685</v>
      </c>
      <c r="J21">
        <v>88.088999999999999</v>
      </c>
      <c r="K21" s="4">
        <f t="shared" si="3"/>
        <v>8.8089000000000001E-2</v>
      </c>
      <c r="L21">
        <v>5.032</v>
      </c>
      <c r="M21" s="2">
        <v>0.2045015835679535</v>
      </c>
      <c r="N21">
        <f t="shared" si="5"/>
        <v>5.1513836089640075E-3</v>
      </c>
      <c r="O21">
        <v>17</v>
      </c>
      <c r="P21">
        <f t="shared" si="4"/>
        <v>0.60811501554547542</v>
      </c>
      <c r="Q21">
        <v>11.420390934352364</v>
      </c>
      <c r="R21">
        <v>10</v>
      </c>
    </row>
    <row r="22" spans="1:18" x14ac:dyDescent="0.3">
      <c r="A22" t="s">
        <v>89</v>
      </c>
      <c r="B22">
        <v>0.77900000000000003</v>
      </c>
      <c r="C22">
        <v>0.754</v>
      </c>
      <c r="D22">
        <v>0.77700000000000002</v>
      </c>
      <c r="E22">
        <v>0.83099999999999996</v>
      </c>
      <c r="F22">
        <f>AVERAGE(B22:E22)</f>
        <v>0.78525</v>
      </c>
      <c r="G22">
        <f t="shared" si="2"/>
        <v>3.254099977976499E-2</v>
      </c>
      <c r="H22">
        <f>F22-F32</f>
        <v>0.66600000000000004</v>
      </c>
      <c r="I22">
        <f>H22/'Fe2SO4 calibration'!B19</f>
        <v>10.364127662806979</v>
      </c>
      <c r="J22">
        <v>125.681</v>
      </c>
      <c r="K22" s="4">
        <f t="shared" si="3"/>
        <v>0.12568099999999999</v>
      </c>
      <c r="L22">
        <v>5.024</v>
      </c>
      <c r="M22" s="2">
        <v>0.27814223931089971</v>
      </c>
      <c r="N22">
        <f t="shared" si="5"/>
        <v>6.7643251538494964E-3</v>
      </c>
      <c r="O22" t="s">
        <v>52</v>
      </c>
      <c r="P22">
        <f t="shared" si="4"/>
        <v>0.57878470932945569</v>
      </c>
      <c r="Q22">
        <v>15.532853354317195</v>
      </c>
      <c r="R22">
        <v>9</v>
      </c>
    </row>
    <row r="26" spans="1:18" ht="4.5" customHeight="1" x14ac:dyDescent="0.3"/>
    <row r="30" spans="1:18" x14ac:dyDescent="0.3">
      <c r="A30" t="s">
        <v>45</v>
      </c>
      <c r="H30" s="8"/>
      <c r="J30" s="1"/>
      <c r="K30" s="1"/>
      <c r="M30" s="2"/>
    </row>
    <row r="31" spans="1:18" x14ac:dyDescent="0.3">
      <c r="J31" s="1"/>
      <c r="K31" s="1"/>
      <c r="M31" s="2"/>
    </row>
    <row r="32" spans="1:18" x14ac:dyDescent="0.3">
      <c r="A32" t="s">
        <v>41</v>
      </c>
      <c r="B32">
        <v>0.11600000000000001</v>
      </c>
      <c r="C32">
        <v>0.11700000000000001</v>
      </c>
      <c r="D32">
        <v>0.11700000000000001</v>
      </c>
      <c r="E32">
        <v>0.127</v>
      </c>
      <c r="F32">
        <f>AVERAGE(B32:E32)</f>
        <v>0.11925000000000001</v>
      </c>
      <c r="G32">
        <f t="shared" si="2"/>
        <v>5.1881274720911247E-3</v>
      </c>
      <c r="J32" s="1"/>
      <c r="K32" s="1"/>
      <c r="M32" s="2"/>
    </row>
    <row r="33" spans="1:13" x14ac:dyDescent="0.3">
      <c r="M33" s="2"/>
    </row>
    <row r="34" spans="1:13" x14ac:dyDescent="0.3">
      <c r="M34" s="9"/>
    </row>
    <row r="35" spans="1:13" x14ac:dyDescent="0.3">
      <c r="C35" t="s">
        <v>18</v>
      </c>
      <c r="D35" t="s">
        <v>19</v>
      </c>
      <c r="E35" t="s">
        <v>50</v>
      </c>
      <c r="F35" t="s">
        <v>29</v>
      </c>
      <c r="G35" t="s">
        <v>15</v>
      </c>
      <c r="H35" t="s">
        <v>16</v>
      </c>
      <c r="I35" t="str">
        <f t="shared" ref="I35:I42" si="6">K1</f>
        <v>H2O (L)</v>
      </c>
      <c r="J35" t="s">
        <v>51</v>
      </c>
      <c r="K35" t="s">
        <v>34</v>
      </c>
      <c r="L35" t="s">
        <v>35</v>
      </c>
    </row>
    <row r="36" spans="1:13" x14ac:dyDescent="0.3">
      <c r="A36" t="str">
        <f>'Fe2SO4 calibration'!A26</f>
        <v>standard error in slope sb</v>
      </c>
      <c r="B36">
        <f>'Fe2SO4 calibration'!B26</f>
        <v>2.9028016742966125E-3</v>
      </c>
      <c r="C36">
        <f>H2-B40</f>
        <v>0.25290476190476197</v>
      </c>
      <c r="D36">
        <f>C36^2</f>
        <v>6.3960818594104338E-2</v>
      </c>
      <c r="E36" t="str">
        <f t="shared" ref="E36:E56" si="7">A2</f>
        <v>1_SWE619</v>
      </c>
      <c r="F36">
        <f>B45*SQRT(B38+B39+(D36/B37^2*B42))</f>
        <v>6.9013880275890338E-2</v>
      </c>
      <c r="G36">
        <f t="shared" ref="G36:G42" si="8">J2</f>
        <v>127.379</v>
      </c>
      <c r="H36">
        <f t="shared" ref="H36:H42" si="9">L2</f>
        <v>5.0369999999999999</v>
      </c>
      <c r="I36">
        <f t="shared" si="6"/>
        <v>0.12737899999999999</v>
      </c>
      <c r="J36">
        <v>1.8723046954361754E-3</v>
      </c>
      <c r="K36">
        <v>2.7759999999999998</v>
      </c>
      <c r="L36">
        <f>K36*J36</f>
        <v>5.1975178345308225E-3</v>
      </c>
    </row>
    <row r="37" spans="1:13" x14ac:dyDescent="0.3">
      <c r="A37" t="str">
        <f>'Fe2SO4 calibration'!A27</f>
        <v>b</v>
      </c>
      <c r="B37">
        <f>'Fe2SO4 calibration'!B27</f>
        <v>6.4260111576011136E-2</v>
      </c>
      <c r="C37">
        <f>H3-B40</f>
        <v>0.37590476190476196</v>
      </c>
      <c r="D37">
        <f>C37^2</f>
        <v>0.14130439002267578</v>
      </c>
      <c r="E37" t="str">
        <f t="shared" si="7"/>
        <v>2_SWE619</v>
      </c>
      <c r="F37">
        <f>B45*SQRT(B38+B39+(D37/B37^2*B42))</f>
        <v>9.7739488423739404E-2</v>
      </c>
      <c r="G37">
        <f t="shared" si="8"/>
        <v>50.088000000000001</v>
      </c>
      <c r="H37">
        <f t="shared" si="9"/>
        <v>5.0069999999999997</v>
      </c>
      <c r="I37">
        <f t="shared" si="6"/>
        <v>5.0088000000000001E-2</v>
      </c>
      <c r="J37">
        <v>1.0489151472159884E-3</v>
      </c>
      <c r="K37">
        <v>2.7759999999999998</v>
      </c>
      <c r="L37">
        <f t="shared" ref="L37:L56" si="10">K37*J37</f>
        <v>2.9117884486715836E-3</v>
      </c>
    </row>
    <row r="38" spans="1:13" x14ac:dyDescent="0.3">
      <c r="A38" t="str">
        <f>'Fe2SO4 calibration'!A28</f>
        <v>1/m</v>
      </c>
      <c r="B38">
        <f>'Fe2SO4 calibration'!B28</f>
        <v>0.25</v>
      </c>
      <c r="C38">
        <f>H4-B40</f>
        <v>0.32365476190476206</v>
      </c>
      <c r="D38">
        <f t="shared" ref="D38:D56" si="11">C38^2</f>
        <v>0.10475240490362822</v>
      </c>
      <c r="E38" t="str">
        <f t="shared" si="7"/>
        <v>3_SWE619</v>
      </c>
      <c r="F38">
        <f>B45*SQRT(B38+B39+(D38/B37^2*B42))</f>
        <v>8.5377084109645007E-2</v>
      </c>
      <c r="G38">
        <f t="shared" si="8"/>
        <v>87.277000000000001</v>
      </c>
      <c r="H38">
        <f t="shared" si="9"/>
        <v>5.0359999999999996</v>
      </c>
      <c r="I38">
        <f t="shared" si="6"/>
        <v>8.7277000000000007E-2</v>
      </c>
      <c r="J38">
        <v>1.5873386923569361E-3</v>
      </c>
      <c r="K38">
        <v>2.7759999999999998</v>
      </c>
      <c r="L38">
        <f t="shared" si="10"/>
        <v>4.406452209982854E-3</v>
      </c>
    </row>
    <row r="39" spans="1:13" x14ac:dyDescent="0.3">
      <c r="A39" t="str">
        <f>'Fe2SO4 calibration'!A29</f>
        <v>1/n</v>
      </c>
      <c r="B39">
        <f>'Fe2SO4 calibration'!B29</f>
        <v>0.14285714285714285</v>
      </c>
      <c r="C39">
        <f>H5-B40</f>
        <v>0.33190476190476192</v>
      </c>
      <c r="D39">
        <f t="shared" si="11"/>
        <v>0.11016077097505671</v>
      </c>
      <c r="E39" t="str">
        <f t="shared" si="7"/>
        <v>4_SWE619</v>
      </c>
      <c r="F39">
        <f>B45*SQRT(B38+B39+(D39/B37^2*B42))</f>
        <v>8.7316670259457441E-2</v>
      </c>
      <c r="G39">
        <f t="shared" si="8"/>
        <v>87.522999999999996</v>
      </c>
      <c r="H39">
        <f t="shared" si="9"/>
        <v>5.0149999999999997</v>
      </c>
      <c r="I39">
        <f t="shared" si="6"/>
        <v>8.752299999999999E-2</v>
      </c>
      <c r="J39">
        <v>1.6347924378168381E-3</v>
      </c>
      <c r="K39">
        <v>2.7759999999999998</v>
      </c>
      <c r="L39">
        <f t="shared" si="10"/>
        <v>4.538183807379542E-3</v>
      </c>
    </row>
    <row r="40" spans="1:13" x14ac:dyDescent="0.3">
      <c r="A40" t="str">
        <f>'Fe2SO4 calibration'!A30</f>
        <v>mean y</v>
      </c>
      <c r="B40">
        <f>'Fe2SO4 calibration'!B30</f>
        <v>0.31934523809523807</v>
      </c>
      <c r="C40">
        <f>H6-B40</f>
        <v>-0.31934523809523807</v>
      </c>
      <c r="D40">
        <f t="shared" si="11"/>
        <v>0.10198138109410429</v>
      </c>
      <c r="E40">
        <f t="shared" si="7"/>
        <v>0</v>
      </c>
      <c r="F40">
        <f>B45*SQRT(B38+B39+(D40/B37^2*B42))</f>
        <v>8.4366045646960569E-2</v>
      </c>
      <c r="G40">
        <f t="shared" si="8"/>
        <v>0</v>
      </c>
      <c r="H40">
        <f t="shared" si="9"/>
        <v>0</v>
      </c>
      <c r="I40">
        <f t="shared" si="6"/>
        <v>0</v>
      </c>
      <c r="J40" t="e">
        <v>#DIV/0!</v>
      </c>
      <c r="K40">
        <v>2.7759999999999998</v>
      </c>
      <c r="L40" t="e">
        <f t="shared" si="10"/>
        <v>#DIV/0!</v>
      </c>
    </row>
    <row r="41" spans="1:13" x14ac:dyDescent="0.3">
      <c r="A41" t="str">
        <f>'Fe2SO4 calibration'!A31</f>
        <v>mean x</v>
      </c>
      <c r="B41">
        <f>'Fe2SO4 calibration'!B31</f>
        <v>0.41571428571428576</v>
      </c>
      <c r="C41">
        <f>H7-B40</f>
        <v>0.49340476190476201</v>
      </c>
      <c r="D41">
        <f t="shared" si="11"/>
        <v>0.24344825907029488</v>
      </c>
      <c r="E41" t="str">
        <f t="shared" si="7"/>
        <v>6_SWE619</v>
      </c>
      <c r="F41">
        <f>B45*SQRT(B38+B39+(D41/B37^2*B42))</f>
        <v>0.12601209284835252</v>
      </c>
      <c r="G41">
        <f t="shared" si="8"/>
        <v>49.604999999999997</v>
      </c>
      <c r="H41">
        <f t="shared" si="9"/>
        <v>5.0010000000000003</v>
      </c>
      <c r="I41">
        <f t="shared" si="6"/>
        <v>4.9604999999999996E-2</v>
      </c>
      <c r="J41">
        <v>1.3408957677954355E-3</v>
      </c>
      <c r="K41">
        <v>2.7759999999999998</v>
      </c>
      <c r="L41">
        <f t="shared" si="10"/>
        <v>3.7223266514001285E-3</v>
      </c>
    </row>
    <row r="42" spans="1:13" x14ac:dyDescent="0.3">
      <c r="A42" t="str">
        <f>'Fe2SO4 calibration'!A32</f>
        <v>sum( xi-mean x)^2</v>
      </c>
      <c r="B42">
        <f>'Fe2SO4 calibration'!B32</f>
        <v>0.12532877568293879</v>
      </c>
      <c r="C42">
        <f>H8-B40</f>
        <v>0.37015476190476204</v>
      </c>
      <c r="D42">
        <f t="shared" si="11"/>
        <v>0.13701454776077107</v>
      </c>
      <c r="E42" t="str">
        <f t="shared" si="7"/>
        <v>7_SWE619</v>
      </c>
      <c r="F42">
        <f>B45*SQRT(B38+B39+(D42/B37^2*B42))</f>
        <v>9.6370775242540299E-2</v>
      </c>
      <c r="G42">
        <f t="shared" si="8"/>
        <v>50.118000000000002</v>
      </c>
      <c r="H42">
        <f t="shared" si="9"/>
        <v>5.0199999999999996</v>
      </c>
      <c r="I42">
        <f t="shared" si="6"/>
        <v>5.0118000000000003E-2</v>
      </c>
      <c r="J42">
        <v>1.0321660338436279E-3</v>
      </c>
      <c r="K42">
        <v>2.7759999999999998</v>
      </c>
      <c r="L42">
        <f t="shared" si="10"/>
        <v>2.8652929099499107E-3</v>
      </c>
    </row>
    <row r="43" spans="1:13" x14ac:dyDescent="0.3">
      <c r="A43" t="str">
        <f>'Fe2SO4 calibration'!A33</f>
        <v>standard error in regression, s yx</v>
      </c>
      <c r="B43">
        <f>'Fe2SO4 calibration'!B33</f>
        <v>4.4876224851378856E-2</v>
      </c>
      <c r="C43">
        <f>H9-B40</f>
        <v>0.28690476190476188</v>
      </c>
      <c r="D43">
        <f t="shared" si="11"/>
        <v>8.2314342403628102E-2</v>
      </c>
      <c r="E43" t="str">
        <f t="shared" si="7"/>
        <v>8_SWE619</v>
      </c>
      <c r="F43">
        <f>B45*SQRT(B38+B39+(D43/B37^2*B42))</f>
        <v>7.6808840241382667E-2</v>
      </c>
      <c r="G43">
        <f t="shared" ref="G43:G56" si="12">J9</f>
        <v>125.05</v>
      </c>
      <c r="H43">
        <f t="shared" ref="H43:H56" si="13">L9</f>
        <v>5.0369999999999999</v>
      </c>
      <c r="I43">
        <f t="shared" ref="I43:I56" si="14">K9</f>
        <v>0.12504999999999999</v>
      </c>
      <c r="J43">
        <v>2.0456774079151939E-3</v>
      </c>
      <c r="K43">
        <v>2.7759999999999998</v>
      </c>
      <c r="L43">
        <f t="shared" si="10"/>
        <v>5.678800484372578E-3</v>
      </c>
    </row>
    <row r="44" spans="1:13" x14ac:dyDescent="0.3">
      <c r="A44">
        <f>'Fe2SO4 calibration'!A34</f>
        <v>0</v>
      </c>
      <c r="B44">
        <f>'Fe2SO4 calibration'!B34</f>
        <v>0</v>
      </c>
      <c r="C44">
        <f>H10-B40</f>
        <v>0.34515476190476191</v>
      </c>
      <c r="D44">
        <f t="shared" si="11"/>
        <v>0.11913180966553288</v>
      </c>
      <c r="E44" t="str">
        <f t="shared" si="7"/>
        <v>9_SWE619</v>
      </c>
      <c r="F44">
        <f>B45*SQRT(B38+B39+(D44/B37^2*B42))</f>
        <v>9.0442252607474752E-2</v>
      </c>
      <c r="G44">
        <f t="shared" si="12"/>
        <v>50.542000000000002</v>
      </c>
      <c r="H44">
        <f t="shared" si="13"/>
        <v>5.0449999999999999</v>
      </c>
      <c r="I44">
        <f t="shared" si="14"/>
        <v>5.0542000000000004E-2</v>
      </c>
      <c r="J44">
        <v>9.7202362267713514E-4</v>
      </c>
      <c r="K44">
        <v>2.7759999999999998</v>
      </c>
      <c r="L44">
        <f t="shared" si="10"/>
        <v>2.6983375765517268E-3</v>
      </c>
      <c r="M44" s="9"/>
    </row>
    <row r="45" spans="1:13" x14ac:dyDescent="0.3">
      <c r="A45" t="str">
        <f>'Fe2SO4 calibration'!A35</f>
        <v>sy,x / b</v>
      </c>
      <c r="B45">
        <f>'Fe2SO4 calibration'!B35</f>
        <v>4.5172683381711619E-2</v>
      </c>
      <c r="C45">
        <f>H11-B40</f>
        <v>0.31340476190476196</v>
      </c>
      <c r="D45">
        <f t="shared" si="11"/>
        <v>9.8222544784580534E-2</v>
      </c>
      <c r="E45" t="str">
        <f t="shared" si="7"/>
        <v>10_SWE619</v>
      </c>
      <c r="F45">
        <f>B45*SQRT(B38+B39+(D45/B37^2*B42))</f>
        <v>8.2974905752185635E-2</v>
      </c>
      <c r="G45">
        <f t="shared" si="12"/>
        <v>88.415000000000006</v>
      </c>
      <c r="H45">
        <f t="shared" si="13"/>
        <v>5.0380000000000003</v>
      </c>
      <c r="I45">
        <f t="shared" si="14"/>
        <v>8.8415000000000007E-2</v>
      </c>
      <c r="J45">
        <v>1.5621716497460033E-3</v>
      </c>
      <c r="K45">
        <v>2.7759999999999998</v>
      </c>
      <c r="L45">
        <f t="shared" si="10"/>
        <v>4.336588499694905E-3</v>
      </c>
      <c r="M45" s="9"/>
    </row>
    <row r="46" spans="1:13" x14ac:dyDescent="0.3">
      <c r="C46">
        <f>H12-B40</f>
        <v>0.29165476190476192</v>
      </c>
      <c r="D46">
        <f t="shared" si="11"/>
        <v>8.5062500141723368E-2</v>
      </c>
      <c r="E46" t="str">
        <f t="shared" si="7"/>
        <v>11_SWE619</v>
      </c>
      <c r="F46">
        <f>B45*SQRT(B38+B39+(D46/B37^2*B42))</f>
        <v>7.7908912300903521E-2</v>
      </c>
      <c r="G46">
        <f t="shared" si="12"/>
        <v>126.12400000000001</v>
      </c>
      <c r="H46">
        <f t="shared" si="13"/>
        <v>5.0039999999999996</v>
      </c>
      <c r="I46">
        <f t="shared" si="14"/>
        <v>0.12612400000000001</v>
      </c>
      <c r="J46">
        <v>2.1065985070741148E-3</v>
      </c>
      <c r="K46">
        <v>2.7759999999999998</v>
      </c>
      <c r="L46">
        <f t="shared" si="10"/>
        <v>5.8479174556377422E-3</v>
      </c>
      <c r="M46" s="9"/>
    </row>
    <row r="47" spans="1:13" x14ac:dyDescent="0.3">
      <c r="C47">
        <f>H13-B40</f>
        <v>0.31290476190476191</v>
      </c>
      <c r="D47">
        <f t="shared" si="11"/>
        <v>9.7909390022675735E-2</v>
      </c>
      <c r="E47" t="str">
        <f t="shared" si="7"/>
        <v>12_SWE619</v>
      </c>
      <c r="F47">
        <f>B45*SQRT(B38+B39+(D7/B37^2*B42))</f>
        <v>0.24127414827713464</v>
      </c>
      <c r="G47">
        <f t="shared" si="12"/>
        <v>88.423000000000002</v>
      </c>
      <c r="H47">
        <f t="shared" si="13"/>
        <v>5.0279999999999996</v>
      </c>
      <c r="I47">
        <f t="shared" si="14"/>
        <v>8.8423000000000002E-2</v>
      </c>
      <c r="J47">
        <v>4.5519235953197477E-3</v>
      </c>
      <c r="K47">
        <v>2.7759999999999998</v>
      </c>
      <c r="L47">
        <f t="shared" si="10"/>
        <v>1.2636139900607619E-2</v>
      </c>
      <c r="M47" s="9"/>
    </row>
    <row r="48" spans="1:13" x14ac:dyDescent="0.3">
      <c r="C48">
        <f>H14-B40</f>
        <v>0.35490476190476206</v>
      </c>
      <c r="D48">
        <f t="shared" si="11"/>
        <v>0.12595739002267584</v>
      </c>
      <c r="E48" t="str">
        <f t="shared" si="7"/>
        <v>13_SWE619</v>
      </c>
      <c r="F48">
        <f>B45*SQRT(B38+B39+(D48/B37^2*B42))</f>
        <v>9.2749810240358541E-2</v>
      </c>
      <c r="G48">
        <f t="shared" si="12"/>
        <v>88.183999999999997</v>
      </c>
      <c r="H48">
        <f t="shared" si="13"/>
        <v>5.0010000000000003</v>
      </c>
      <c r="I48">
        <f t="shared" si="14"/>
        <v>8.8183999999999998E-2</v>
      </c>
      <c r="J48">
        <v>1.7545274437545633E-3</v>
      </c>
      <c r="K48">
        <v>2.7759999999999998</v>
      </c>
      <c r="L48">
        <f t="shared" si="10"/>
        <v>4.8705681838626677E-3</v>
      </c>
      <c r="M48" s="9"/>
    </row>
    <row r="49" spans="3:13" x14ac:dyDescent="0.3">
      <c r="C49">
        <f>H15-B40</f>
        <v>0.328154761904762</v>
      </c>
      <c r="D49">
        <f t="shared" si="11"/>
        <v>0.10768554776077104</v>
      </c>
      <c r="E49" t="str">
        <f t="shared" si="7"/>
        <v>14_SWE619</v>
      </c>
      <c r="F49">
        <f>B45*SQRT(B38+B39+(D49/B37^2*B42))</f>
        <v>8.64343900620336E-2</v>
      </c>
      <c r="G49">
        <f t="shared" si="12"/>
        <v>87.527000000000001</v>
      </c>
      <c r="H49">
        <f t="shared" si="13"/>
        <v>5.0410000000000004</v>
      </c>
      <c r="I49">
        <f t="shared" si="14"/>
        <v>8.7527000000000008E-2</v>
      </c>
      <c r="J49">
        <v>1.6100008805038644E-3</v>
      </c>
      <c r="K49">
        <v>2.7759999999999998</v>
      </c>
      <c r="L49">
        <f t="shared" si="10"/>
        <v>4.4693624442787268E-3</v>
      </c>
      <c r="M49" s="9"/>
    </row>
    <row r="50" spans="3:13" x14ac:dyDescent="0.3">
      <c r="C50">
        <f>H16-B40</f>
        <v>0.33165476190476195</v>
      </c>
      <c r="D50">
        <f t="shared" si="11"/>
        <v>0.10999488109410434</v>
      </c>
      <c r="E50" t="str">
        <f t="shared" si="7"/>
        <v>15_SWE619</v>
      </c>
      <c r="F50">
        <f>B45*SQRT(B38+B39+(D50/B37^2*B42))</f>
        <v>8.7257818596088374E-2</v>
      </c>
      <c r="G50">
        <f t="shared" si="12"/>
        <v>88.281999999999996</v>
      </c>
      <c r="H50">
        <f t="shared" si="13"/>
        <v>5.0110000000000001</v>
      </c>
      <c r="I50">
        <f t="shared" si="14"/>
        <v>8.8281999999999999E-2</v>
      </c>
      <c r="J50">
        <v>1.6491733508493134E-3</v>
      </c>
      <c r="K50">
        <v>2.7759999999999998</v>
      </c>
      <c r="L50">
        <f t="shared" si="10"/>
        <v>4.5781052219576934E-3</v>
      </c>
      <c r="M50" s="9"/>
    </row>
    <row r="51" spans="3:13" x14ac:dyDescent="0.3">
      <c r="C51">
        <f>H17-B40</f>
        <v>0.30140476190476195</v>
      </c>
      <c r="D51">
        <f t="shared" si="11"/>
        <v>9.0844830498866241E-2</v>
      </c>
      <c r="E51" t="str">
        <f t="shared" si="7"/>
        <v>16_SWE619</v>
      </c>
      <c r="F51">
        <f>B45*SQRT(B38+B39+(D51/B37^2*B42))</f>
        <v>8.0174270356946645E-2</v>
      </c>
      <c r="G51">
        <f t="shared" si="12"/>
        <v>88.197999999999993</v>
      </c>
      <c r="H51">
        <f t="shared" si="13"/>
        <v>5.0039999999999996</v>
      </c>
      <c r="I51">
        <f t="shared" si="14"/>
        <v>8.8197999999999999E-2</v>
      </c>
      <c r="J51">
        <v>1.5159701444320017E-3</v>
      </c>
      <c r="K51">
        <v>2.7759999999999998</v>
      </c>
      <c r="L51">
        <f t="shared" si="10"/>
        <v>4.2083331209432362E-3</v>
      </c>
    </row>
    <row r="52" spans="3:13" x14ac:dyDescent="0.3">
      <c r="C52">
        <f>H18-B40</f>
        <v>0.3684047619047619</v>
      </c>
      <c r="D52">
        <f t="shared" si="11"/>
        <v>0.13572206859410429</v>
      </c>
      <c r="E52" t="str">
        <f t="shared" si="7"/>
        <v>17_SWE619</v>
      </c>
      <c r="F52">
        <f>B45*SQRT(B38+B39+(D52/B37^2*B42))</f>
        <v>9.5954570854539956E-2</v>
      </c>
      <c r="G52">
        <f t="shared" si="12"/>
        <v>25.53</v>
      </c>
      <c r="H52">
        <f t="shared" si="13"/>
        <v>5.008</v>
      </c>
      <c r="I52">
        <f t="shared" si="14"/>
        <v>2.5530000000000001E-2</v>
      </c>
      <c r="J52">
        <v>5.2476680853334973E-4</v>
      </c>
      <c r="K52">
        <v>2.7759999999999998</v>
      </c>
      <c r="L52">
        <f t="shared" si="10"/>
        <v>1.4567526604885787E-3</v>
      </c>
    </row>
    <row r="53" spans="3:13" x14ac:dyDescent="0.3">
      <c r="C53">
        <f>H19-B40</f>
        <v>0.34165476190476196</v>
      </c>
      <c r="D53">
        <f t="shared" si="11"/>
        <v>0.11672797633219958</v>
      </c>
      <c r="E53" t="str">
        <f t="shared" si="7"/>
        <v>18_SWE619</v>
      </c>
      <c r="F53">
        <f>B45*SQRT(B38+B39+(D53/B37^2*B42))</f>
        <v>8.9615430038811422E-2</v>
      </c>
      <c r="G53">
        <f t="shared" si="12"/>
        <v>87.847000000000008</v>
      </c>
      <c r="H53">
        <f t="shared" si="13"/>
        <v>5.0069999999999997</v>
      </c>
      <c r="I53">
        <f t="shared" si="14"/>
        <v>8.7847000000000008E-2</v>
      </c>
      <c r="J53">
        <v>1.6867329647991217E-3</v>
      </c>
      <c r="K53">
        <v>2.7759999999999998</v>
      </c>
      <c r="L53">
        <f t="shared" si="10"/>
        <v>4.6823707102823615E-3</v>
      </c>
    </row>
    <row r="54" spans="3:13" x14ac:dyDescent="0.3">
      <c r="C54">
        <f>H20-B40</f>
        <v>0.24365476190476199</v>
      </c>
      <c r="D54">
        <f t="shared" si="11"/>
        <v>5.9367642998866252E-2</v>
      </c>
      <c r="E54" t="str">
        <f t="shared" si="7"/>
        <v>19_SWE619</v>
      </c>
      <c r="F54">
        <f>B45*SQRT(B38+B39+(D54/B37^2*B42))</f>
        <v>6.6921208586663436E-2</v>
      </c>
      <c r="G54">
        <f t="shared" si="12"/>
        <v>150.596</v>
      </c>
      <c r="H54">
        <f t="shared" si="13"/>
        <v>5.0019999999999998</v>
      </c>
      <c r="I54">
        <f t="shared" si="14"/>
        <v>0.15059600000000001</v>
      </c>
      <c r="J54">
        <v>2.1614625786904929E-3</v>
      </c>
      <c r="K54">
        <v>2.7759999999999998</v>
      </c>
      <c r="L54">
        <f t="shared" si="10"/>
        <v>6.0002201184448083E-3</v>
      </c>
    </row>
    <row r="55" spans="3:13" x14ac:dyDescent="0.3">
      <c r="C55">
        <f>H21-B40</f>
        <v>0.38040476190476191</v>
      </c>
      <c r="D55">
        <f t="shared" si="11"/>
        <v>0.14470778287981859</v>
      </c>
      <c r="E55" t="str">
        <f t="shared" si="7"/>
        <v>20_SWE619</v>
      </c>
      <c r="F55">
        <f>B45*SQRT(B38+B39+(D55/B37^2*B42))</f>
        <v>9.881188550887765E-2</v>
      </c>
      <c r="G55">
        <f t="shared" si="12"/>
        <v>88.088999999999999</v>
      </c>
      <c r="H55">
        <f t="shared" si="13"/>
        <v>5.032</v>
      </c>
      <c r="I55">
        <f t="shared" si="14"/>
        <v>8.8089000000000001E-2</v>
      </c>
      <c r="J55">
        <v>1.8556857380994266E-3</v>
      </c>
      <c r="K55">
        <v>2.7759999999999998</v>
      </c>
      <c r="L55">
        <f t="shared" si="10"/>
        <v>5.1513836089640075E-3</v>
      </c>
    </row>
    <row r="56" spans="3:13" x14ac:dyDescent="0.3">
      <c r="C56">
        <f>H22-B40</f>
        <v>0.34665476190476197</v>
      </c>
      <c r="D56">
        <f t="shared" si="11"/>
        <v>0.12016952395124721</v>
      </c>
      <c r="E56" t="str">
        <f t="shared" si="7"/>
        <v>5b_SWE619</v>
      </c>
      <c r="F56">
        <f>B45*SQRT(B38+B39+(D56/B37^2*B42))</f>
        <v>9.079685813307517E-2</v>
      </c>
      <c r="G56">
        <f t="shared" si="12"/>
        <v>125.681</v>
      </c>
      <c r="H56">
        <f t="shared" si="13"/>
        <v>5.024</v>
      </c>
      <c r="I56">
        <f t="shared" si="14"/>
        <v>0.12568099999999999</v>
      </c>
      <c r="J56">
        <v>2.4367165539803661E-3</v>
      </c>
      <c r="K56">
        <v>2.7759999999999998</v>
      </c>
      <c r="L56">
        <f t="shared" si="10"/>
        <v>6.7643251538494964E-3</v>
      </c>
    </row>
  </sheetData>
  <mergeCells count="1">
    <mergeCell ref="B1:E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0"/>
  <sheetViews>
    <sheetView workbookViewId="0">
      <selection activeCell="A27" sqref="A27:D30"/>
    </sheetView>
  </sheetViews>
  <sheetFormatPr defaultRowHeight="14.4" x14ac:dyDescent="0.3"/>
  <cols>
    <col min="1" max="1" width="49.6640625" customWidth="1"/>
    <col min="2" max="2" width="16.5546875" bestFit="1" customWidth="1"/>
    <col min="3" max="3" width="18" customWidth="1"/>
    <col min="4" max="4" width="17.6640625" bestFit="1" customWidth="1"/>
    <col min="8" max="8" width="17.6640625" customWidth="1"/>
    <col min="10" max="10" width="14.44140625" bestFit="1" customWidth="1"/>
    <col min="11" max="11" width="11.44140625" customWidth="1"/>
  </cols>
  <sheetData>
    <row r="1" spans="1:3" x14ac:dyDescent="0.3">
      <c r="A1" t="s">
        <v>68</v>
      </c>
      <c r="B1" t="str">
        <f>JMSWE619!M1</f>
        <v>mmolFE(II)/g SCG</v>
      </c>
      <c r="C1" t="str">
        <f>JMSWE619!Q1</f>
        <v>mg Fe(II)/ g SCG db</v>
      </c>
    </row>
    <row r="2" spans="1:3" x14ac:dyDescent="0.3">
      <c r="A2" t="s">
        <v>69</v>
      </c>
      <c r="B2">
        <f>JMSWE619!M2</f>
        <v>0.24159303318465836</v>
      </c>
      <c r="C2">
        <f>JMSWE619!Q2</f>
        <v>13.491762938197249</v>
      </c>
    </row>
    <row r="3" spans="1:3" x14ac:dyDescent="0.3">
      <c r="A3" t="s">
        <v>70</v>
      </c>
      <c r="B3">
        <f>JMSWE619!M3</f>
        <v>0.11611005150680848</v>
      </c>
      <c r="C3">
        <f>JMSWE619!Q3</f>
        <v>6.4841658263977191</v>
      </c>
    </row>
    <row r="4" spans="1:3" x14ac:dyDescent="0.3">
      <c r="A4" t="s">
        <v>71</v>
      </c>
      <c r="B4">
        <f>JMSWE619!M4</f>
        <v>0.18603633793745636</v>
      </c>
      <c r="C4">
        <f>JMSWE619!Q4</f>
        <v>10.389199292117247</v>
      </c>
    </row>
    <row r="5" spans="1:3" x14ac:dyDescent="0.3">
      <c r="A5" t="s">
        <v>72</v>
      </c>
      <c r="B5">
        <f>JMSWE619!M5</f>
        <v>0.18974560057895626</v>
      </c>
      <c r="C5">
        <f>JMSWE619!Q5</f>
        <v>10.596343064331814</v>
      </c>
    </row>
    <row r="6" spans="1:3" x14ac:dyDescent="0.3">
      <c r="A6" t="s">
        <v>73</v>
      </c>
      <c r="B6">
        <f>JMSWE619!M6</f>
        <v>0</v>
      </c>
      <c r="C6">
        <f>JMSWE619!Q6</f>
        <v>0</v>
      </c>
    </row>
    <row r="7" spans="1:3" x14ac:dyDescent="0.3">
      <c r="A7" t="s">
        <v>74</v>
      </c>
      <c r="B7">
        <f>JMSWE619!M7</f>
        <v>0.13458550808479774</v>
      </c>
      <c r="C7">
        <f>JMSWE619!Q7</f>
        <v>7.5159276989955286</v>
      </c>
    </row>
    <row r="8" spans="1:3" x14ac:dyDescent="0.3">
      <c r="A8" t="s">
        <v>75</v>
      </c>
      <c r="B8">
        <f>JMSWE619!M8</f>
        <v>0.11492036745194913</v>
      </c>
      <c r="C8">
        <f>JMSWE619!Q8</f>
        <v>6.4177279203540989</v>
      </c>
    </row>
    <row r="9" spans="1:3" x14ac:dyDescent="0.3">
      <c r="A9" t="s">
        <v>76</v>
      </c>
      <c r="B9">
        <f>JMSWE619!M9</f>
        <v>0.25126744149384977</v>
      </c>
      <c r="C9">
        <f>JMSWE619!Q9</f>
        <v>14.032030270224041</v>
      </c>
    </row>
    <row r="10" spans="1:3" x14ac:dyDescent="0.3">
      <c r="A10" t="s">
        <v>77</v>
      </c>
      <c r="B10">
        <f>JMSWE619!M10</f>
        <v>0.11113707409150735</v>
      </c>
      <c r="C10">
        <f>JMSWE619!Q10</f>
        <v>6.2064499026402284</v>
      </c>
    </row>
    <row r="11" spans="1:3" x14ac:dyDescent="0.3">
      <c r="A11" t="s">
        <v>78</v>
      </c>
      <c r="B11">
        <f>JMSWE619!M11</f>
        <v>0.18538417676730046</v>
      </c>
      <c r="C11">
        <f>JMSWE619!Q11</f>
        <v>10.352779351569893</v>
      </c>
    </row>
    <row r="12" spans="1:3" x14ac:dyDescent="0.3">
      <c r="A12" t="s">
        <v>79</v>
      </c>
      <c r="B12">
        <f>JMSWE619!M12</f>
        <v>0.25709543531442858</v>
      </c>
      <c r="C12">
        <f>JMSWE619!Q12</f>
        <v>14.357494585134262</v>
      </c>
    </row>
    <row r="13" spans="1:3" x14ac:dyDescent="0.3">
      <c r="A13" t="s">
        <v>80</v>
      </c>
      <c r="B13">
        <f>JMSWE619!M13</f>
        <v>0.18562289225792461</v>
      </c>
      <c r="C13">
        <f>JMSWE619!Q13</f>
        <v>10.3661104181438</v>
      </c>
    </row>
    <row r="14" spans="1:3" x14ac:dyDescent="0.3">
      <c r="A14" t="s">
        <v>81</v>
      </c>
      <c r="B14">
        <f>JMSWE619!M14</f>
        <v>0.19848450830480899</v>
      </c>
      <c r="C14">
        <f>JMSWE619!Q14</f>
        <v>11.084367366282057</v>
      </c>
    </row>
    <row r="15" spans="1:3" x14ac:dyDescent="0.3">
      <c r="A15" t="s">
        <v>82</v>
      </c>
      <c r="B15">
        <f>JMSWE619!M15</f>
        <v>0.18768857600735961</v>
      </c>
      <c r="C15">
        <f>JMSWE619!Q15</f>
        <v>10.481468527130996</v>
      </c>
    </row>
    <row r="16" spans="1:3" x14ac:dyDescent="0.3">
      <c r="A16" t="s">
        <v>83</v>
      </c>
      <c r="B16">
        <f>JMSWE619!M16</f>
        <v>0.19147032304824774</v>
      </c>
      <c r="C16">
        <f>JMSWE619!Q16</f>
        <v>10.692660190629395</v>
      </c>
    </row>
    <row r="17" spans="1:11" x14ac:dyDescent="0.3">
      <c r="A17" t="s">
        <v>84</v>
      </c>
      <c r="B17">
        <f>JMSWE619!M17</f>
        <v>0.1826547140005427</v>
      </c>
      <c r="C17">
        <f>JMSWE619!Q17</f>
        <v>10.200352503360309</v>
      </c>
    </row>
    <row r="18" spans="1:11" x14ac:dyDescent="0.3">
      <c r="A18" t="s">
        <v>85</v>
      </c>
      <c r="B18">
        <f>JMSWE619!M18</f>
        <v>5.8531521623617626E-2</v>
      </c>
      <c r="C18">
        <f>JMSWE619!Q18</f>
        <v>3.268692825070926</v>
      </c>
    </row>
    <row r="19" spans="1:11" x14ac:dyDescent="0.3">
      <c r="A19" t="s">
        <v>86</v>
      </c>
      <c r="B19">
        <f>JMSWE619!M19</f>
        <v>0.19360810032118367</v>
      </c>
      <c r="C19">
        <f>JMSWE619!Q19</f>
        <v>10.812044362436501</v>
      </c>
    </row>
    <row r="20" spans="1:11" x14ac:dyDescent="0.3">
      <c r="A20" t="s">
        <v>87</v>
      </c>
      <c r="B20">
        <f>JMSWE619!M20</f>
        <v>0.28297682202160701</v>
      </c>
      <c r="C20">
        <f>JMSWE619!Q20</f>
        <v>15.802840625796646</v>
      </c>
    </row>
    <row r="21" spans="1:11" x14ac:dyDescent="0.3">
      <c r="A21" t="s">
        <v>88</v>
      </c>
      <c r="B21">
        <f>JMSWE619!M21</f>
        <v>0.2045015835679535</v>
      </c>
      <c r="C21">
        <f>JMSWE619!Q21</f>
        <v>11.420390934352364</v>
      </c>
    </row>
    <row r="22" spans="1:11" x14ac:dyDescent="0.3">
      <c r="A22" t="s">
        <v>89</v>
      </c>
      <c r="B22">
        <f>JMSWE619!M22</f>
        <v>0.27814223931089971</v>
      </c>
      <c r="C22">
        <f>JMSWE619!Q22</f>
        <v>15.532853354317195</v>
      </c>
    </row>
    <row r="27" spans="1:11" x14ac:dyDescent="0.3">
      <c r="F27" t="s">
        <v>54</v>
      </c>
      <c r="G27" t="s">
        <v>55</v>
      </c>
      <c r="H27" t="s">
        <v>56</v>
      </c>
      <c r="I27" t="s">
        <v>57</v>
      </c>
      <c r="J27" t="s">
        <v>58</v>
      </c>
      <c r="K27" t="s">
        <v>62</v>
      </c>
    </row>
    <row r="28" spans="1:11" ht="15.6" x14ac:dyDescent="0.3">
      <c r="A28" s="10"/>
      <c r="F28">
        <v>50</v>
      </c>
      <c r="G28">
        <v>200</v>
      </c>
      <c r="H28">
        <v>15</v>
      </c>
      <c r="J28" t="s">
        <v>59</v>
      </c>
    </row>
    <row r="29" spans="1:11" ht="15.6" x14ac:dyDescent="0.3">
      <c r="A29" s="10"/>
      <c r="F29">
        <v>20</v>
      </c>
      <c r="G29">
        <v>120</v>
      </c>
      <c r="H29">
        <v>20</v>
      </c>
      <c r="J29" t="s">
        <v>61</v>
      </c>
    </row>
    <row r="30" spans="1:11" x14ac:dyDescent="0.3">
      <c r="A30" s="11"/>
      <c r="F30">
        <v>90</v>
      </c>
      <c r="G30" t="s">
        <v>65</v>
      </c>
      <c r="H30">
        <v>40</v>
      </c>
      <c r="J30" t="s">
        <v>64</v>
      </c>
      <c r="K30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Fe2SO4 calibration</vt:lpstr>
      <vt:lpstr>JMSWE619</vt:lpstr>
      <vt:lpstr>Lit and Summary</vt:lpstr>
    </vt:vector>
  </TitlesOfParts>
  <Company>University of Bath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Jackie Massaya</dc:creator>
  <cp:lastModifiedBy>Jackie Massaya</cp:lastModifiedBy>
  <dcterms:created xsi:type="dcterms:W3CDTF">2018-11-16T15:15:19Z</dcterms:created>
  <dcterms:modified xsi:type="dcterms:W3CDTF">2021-01-12T11:59:46Z</dcterms:modified>
</cp:coreProperties>
</file>