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X:\Chem Eng\ResearchProjects\CChuck\EG-CE1152 - Jackie Massaya\Experiments\SCG biorefinery paper\"/>
    </mc:Choice>
  </mc:AlternateContent>
  <xr:revisionPtr revIDLastSave="0" documentId="13_ncr:1_{2982E82E-CCA1-4E66-9DFC-AABE2C9833EE}" xr6:coauthVersionLast="45" xr6:coauthVersionMax="45" xr10:uidLastSave="{00000000-0000-0000-0000-000000000000}"/>
  <bookViews>
    <workbookView xWindow="-68" yWindow="-68" windowWidth="25336" windowHeight="13710" activeTab="3" xr2:uid="{00000000-000D-0000-FFFF-FFFF00000000}"/>
  </bookViews>
  <sheets>
    <sheet name="RAW DATA" sheetId="1" r:id="rId1"/>
    <sheet name="NPCF" sheetId="2" r:id="rId2"/>
    <sheet name="BALANCE amino acids g scg AR" sheetId="3" r:id="rId3"/>
    <sheet name="BALANCE amino acids g scg A DB" sheetId="5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5" l="1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C42" i="3"/>
  <c r="D42" i="3"/>
  <c r="B42" i="3"/>
  <c r="F38" i="1" l="1"/>
  <c r="C44" i="1"/>
  <c r="C43" i="1"/>
  <c r="L17" i="2"/>
  <c r="L16" i="2"/>
  <c r="L15" i="2"/>
  <c r="B120" i="5" l="1"/>
  <c r="N51" i="5"/>
  <c r="M43" i="5"/>
  <c r="L43" i="5"/>
  <c r="K43" i="5"/>
  <c r="M42" i="5"/>
  <c r="L42" i="5"/>
  <c r="K42" i="5"/>
  <c r="N25" i="5"/>
  <c r="F19" i="5"/>
  <c r="B120" i="3"/>
  <c r="F19" i="3"/>
  <c r="L18" i="2"/>
  <c r="H18" i="2"/>
  <c r="D18" i="2"/>
  <c r="E18" i="2" s="1"/>
  <c r="D17" i="2"/>
  <c r="E17" i="2" s="1"/>
  <c r="F17" i="2" s="1"/>
  <c r="G17" i="2" s="1"/>
  <c r="H16" i="2"/>
  <c r="J16" i="2" s="1"/>
  <c r="D16" i="2"/>
  <c r="E16" i="2" s="1"/>
  <c r="D15" i="2"/>
  <c r="E15" i="2" s="1"/>
  <c r="F15" i="2" s="1"/>
  <c r="L14" i="2"/>
  <c r="H14" i="2"/>
  <c r="J14" i="2" s="1"/>
  <c r="D14" i="2"/>
  <c r="E14" i="2" s="1"/>
  <c r="L13" i="2"/>
  <c r="H13" i="2"/>
  <c r="J13" i="2" s="1"/>
  <c r="D13" i="2"/>
  <c r="E13" i="2" s="1"/>
  <c r="L12" i="2"/>
  <c r="H12" i="2"/>
  <c r="J12" i="2" s="1"/>
  <c r="D12" i="2"/>
  <c r="E12" i="2" s="1"/>
  <c r="F12" i="2" s="1"/>
  <c r="G12" i="2" s="1"/>
  <c r="L11" i="2"/>
  <c r="H11" i="2"/>
  <c r="J11" i="2" s="1"/>
  <c r="D11" i="2"/>
  <c r="E11" i="2" s="1"/>
  <c r="F11" i="2" s="1"/>
  <c r="G11" i="2" s="1"/>
  <c r="L10" i="2"/>
  <c r="H10" i="2"/>
  <c r="J10" i="2" s="1"/>
  <c r="D10" i="2"/>
  <c r="E10" i="2" s="1"/>
  <c r="L9" i="2"/>
  <c r="H9" i="2"/>
  <c r="J9" i="2" s="1"/>
  <c r="D9" i="2"/>
  <c r="E9" i="2" s="1"/>
  <c r="L8" i="2"/>
  <c r="H8" i="2"/>
  <c r="J8" i="2" s="1"/>
  <c r="D8" i="2"/>
  <c r="E8" i="2" s="1"/>
  <c r="F8" i="2" s="1"/>
  <c r="G8" i="2" s="1"/>
  <c r="L7" i="2"/>
  <c r="H7" i="2"/>
  <c r="D7" i="2"/>
  <c r="E7" i="2" s="1"/>
  <c r="F7" i="2" s="1"/>
  <c r="G7" i="2" s="1"/>
  <c r="L6" i="2"/>
  <c r="H6" i="2"/>
  <c r="J6" i="2" s="1"/>
  <c r="D6" i="2"/>
  <c r="E6" i="2" s="1"/>
  <c r="L5" i="2"/>
  <c r="H5" i="2"/>
  <c r="J5" i="2" s="1"/>
  <c r="D5" i="2"/>
  <c r="E5" i="2" s="1"/>
  <c r="L4" i="2"/>
  <c r="H4" i="2"/>
  <c r="J4" i="2" s="1"/>
  <c r="D4" i="2"/>
  <c r="E4" i="2" s="1"/>
  <c r="L3" i="2"/>
  <c r="H3" i="2"/>
  <c r="J3" i="2" s="1"/>
  <c r="D3" i="2"/>
  <c r="E3" i="2" s="1"/>
  <c r="F3" i="2" s="1"/>
  <c r="G3" i="2" s="1"/>
  <c r="L2" i="2"/>
  <c r="H2" i="2"/>
  <c r="J2" i="2" s="1"/>
  <c r="D2" i="2"/>
  <c r="E2" i="2" s="1"/>
  <c r="F2" i="2" s="1"/>
  <c r="G2" i="2" s="1"/>
  <c r="H1" i="2"/>
  <c r="N44" i="1"/>
  <c r="L44" i="1"/>
  <c r="K44" i="1"/>
  <c r="O44" i="1" s="1"/>
  <c r="I44" i="1"/>
  <c r="H44" i="1"/>
  <c r="F44" i="1"/>
  <c r="E44" i="1"/>
  <c r="B44" i="1"/>
  <c r="N43" i="1"/>
  <c r="L43" i="1"/>
  <c r="K43" i="1"/>
  <c r="O43" i="1" s="1"/>
  <c r="B40" i="3" s="1"/>
  <c r="I43" i="1"/>
  <c r="H43" i="1"/>
  <c r="F43" i="1"/>
  <c r="E43" i="1"/>
  <c r="B43" i="1"/>
  <c r="N42" i="1"/>
  <c r="L42" i="1"/>
  <c r="K42" i="1"/>
  <c r="O42" i="1" s="1"/>
  <c r="I42" i="1"/>
  <c r="D39" i="3" s="1"/>
  <c r="H42" i="1"/>
  <c r="F16" i="3" s="1"/>
  <c r="G16" i="3" s="1"/>
  <c r="F42" i="1"/>
  <c r="C39" i="5" s="1"/>
  <c r="F39" i="5" s="1"/>
  <c r="E42" i="1"/>
  <c r="D16" i="3" s="1"/>
  <c r="E16" i="3" s="1"/>
  <c r="C42" i="1"/>
  <c r="B42" i="1"/>
  <c r="B16" i="3" s="1"/>
  <c r="C16" i="3" s="1"/>
  <c r="N41" i="1"/>
  <c r="M41" i="1"/>
  <c r="H17" i="2" s="1"/>
  <c r="L41" i="1"/>
  <c r="K41" i="1"/>
  <c r="I41" i="1"/>
  <c r="H41" i="1"/>
  <c r="F41" i="1"/>
  <c r="E41" i="1"/>
  <c r="C41" i="1"/>
  <c r="B41" i="1"/>
  <c r="N40" i="1"/>
  <c r="L40" i="1"/>
  <c r="K40" i="1"/>
  <c r="O40" i="1" s="1"/>
  <c r="I40" i="1"/>
  <c r="H40" i="1"/>
  <c r="F40" i="1"/>
  <c r="E40" i="1"/>
  <c r="C40" i="1"/>
  <c r="B40" i="1"/>
  <c r="N39" i="1"/>
  <c r="L39" i="1"/>
  <c r="K39" i="1"/>
  <c r="O39" i="1" s="1"/>
  <c r="I39" i="1"/>
  <c r="H39" i="1"/>
  <c r="F39" i="1"/>
  <c r="E39" i="1"/>
  <c r="C39" i="1"/>
  <c r="B39" i="1"/>
  <c r="N38" i="1"/>
  <c r="L38" i="1"/>
  <c r="K38" i="1"/>
  <c r="O38" i="1" s="1"/>
  <c r="C35" i="3" s="1"/>
  <c r="F35" i="3" s="1"/>
  <c r="I38" i="1"/>
  <c r="H38" i="1"/>
  <c r="E38" i="1"/>
  <c r="C38" i="1"/>
  <c r="B38" i="1"/>
  <c r="N37" i="1"/>
  <c r="L37" i="1"/>
  <c r="K37" i="1"/>
  <c r="O37" i="1" s="1"/>
  <c r="I37" i="1"/>
  <c r="H37" i="1"/>
  <c r="F37" i="1"/>
  <c r="E37" i="1"/>
  <c r="C37" i="1"/>
  <c r="B37" i="1"/>
  <c r="N36" i="1"/>
  <c r="L36" i="1"/>
  <c r="K36" i="1"/>
  <c r="O36" i="1" s="1"/>
  <c r="I36" i="1"/>
  <c r="H36" i="1"/>
  <c r="F36" i="1"/>
  <c r="E36" i="1"/>
  <c r="C36" i="1"/>
  <c r="B36" i="1"/>
  <c r="N35" i="1"/>
  <c r="L35" i="1"/>
  <c r="K35" i="1"/>
  <c r="O35" i="1" s="1"/>
  <c r="I35" i="1"/>
  <c r="H35" i="1"/>
  <c r="F35" i="1"/>
  <c r="E35" i="1"/>
  <c r="C35" i="1"/>
  <c r="B35" i="1"/>
  <c r="N34" i="1"/>
  <c r="L34" i="1"/>
  <c r="K34" i="1"/>
  <c r="O34" i="1" s="1"/>
  <c r="I34" i="1"/>
  <c r="H34" i="1"/>
  <c r="F34" i="1"/>
  <c r="E34" i="1"/>
  <c r="C34" i="1"/>
  <c r="B34" i="1"/>
  <c r="N33" i="1"/>
  <c r="L33" i="1"/>
  <c r="K33" i="1"/>
  <c r="O33" i="1" s="1"/>
  <c r="I33" i="1"/>
  <c r="H33" i="1"/>
  <c r="F33" i="1"/>
  <c r="E33" i="1"/>
  <c r="C33" i="1"/>
  <c r="B33" i="1"/>
  <c r="N32" i="1"/>
  <c r="L32" i="1"/>
  <c r="K32" i="1"/>
  <c r="O32" i="1" s="1"/>
  <c r="I32" i="1"/>
  <c r="H32" i="1"/>
  <c r="F32" i="1"/>
  <c r="E32" i="1"/>
  <c r="C32" i="1"/>
  <c r="B32" i="1"/>
  <c r="N31" i="1"/>
  <c r="L31" i="1"/>
  <c r="K31" i="1"/>
  <c r="O31" i="1" s="1"/>
  <c r="I31" i="1"/>
  <c r="H31" i="1"/>
  <c r="F31" i="1"/>
  <c r="E31" i="1"/>
  <c r="C31" i="1"/>
  <c r="B31" i="1"/>
  <c r="N30" i="1"/>
  <c r="L30" i="1"/>
  <c r="K30" i="1"/>
  <c r="O30" i="1" s="1"/>
  <c r="I30" i="1"/>
  <c r="H30" i="1"/>
  <c r="F30" i="1"/>
  <c r="E30" i="1"/>
  <c r="C30" i="1"/>
  <c r="B30" i="1"/>
  <c r="N29" i="1"/>
  <c r="L29" i="1"/>
  <c r="K29" i="1"/>
  <c r="O29" i="1" s="1"/>
  <c r="I29" i="1"/>
  <c r="H29" i="1"/>
  <c r="F29" i="1"/>
  <c r="E29" i="1"/>
  <c r="C29" i="1"/>
  <c r="B29" i="1"/>
  <c r="N28" i="1"/>
  <c r="L28" i="1"/>
  <c r="K28" i="1"/>
  <c r="O28" i="1" s="1"/>
  <c r="I28" i="1"/>
  <c r="H28" i="1"/>
  <c r="F28" i="1"/>
  <c r="E28" i="1"/>
  <c r="C28" i="1"/>
  <c r="B28" i="1"/>
  <c r="AG24" i="1"/>
  <c r="AG23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G36" i="1" l="1"/>
  <c r="D10" i="3" s="1"/>
  <c r="E10" i="3" s="1"/>
  <c r="C83" i="3" s="1"/>
  <c r="C26" i="5"/>
  <c r="F79" i="5" s="1"/>
  <c r="F92" i="5" s="1"/>
  <c r="I92" i="5" s="1"/>
  <c r="G30" i="1"/>
  <c r="D4" i="3" s="1"/>
  <c r="E4" i="3" s="1"/>
  <c r="C78" i="3" s="1"/>
  <c r="C91" i="3" s="1"/>
  <c r="B34" i="5"/>
  <c r="E34" i="5" s="1"/>
  <c r="C30" i="5"/>
  <c r="F30" i="5" s="1"/>
  <c r="D31" i="5"/>
  <c r="G31" i="5" s="1"/>
  <c r="D28" i="1"/>
  <c r="B2" i="5" s="1"/>
  <c r="C2" i="5" s="1"/>
  <c r="D30" i="1"/>
  <c r="B4" i="5" s="1"/>
  <c r="C4" i="5" s="1"/>
  <c r="D42" i="1"/>
  <c r="B25" i="3"/>
  <c r="E25" i="3" s="1"/>
  <c r="J34" i="1"/>
  <c r="F8" i="5" s="1"/>
  <c r="G8" i="5" s="1"/>
  <c r="D37" i="1"/>
  <c r="B11" i="3" s="1"/>
  <c r="C11" i="3" s="1"/>
  <c r="D39" i="1"/>
  <c r="B13" i="3" s="1"/>
  <c r="C13" i="3" s="1"/>
  <c r="D43" i="1"/>
  <c r="B17" i="5" s="1"/>
  <c r="C17" i="5" s="1"/>
  <c r="M17" i="2" s="1"/>
  <c r="N17" i="2" s="1"/>
  <c r="J35" i="1"/>
  <c r="F9" i="5" s="1"/>
  <c r="G9" i="5" s="1"/>
  <c r="G43" i="1"/>
  <c r="D17" i="5" s="1"/>
  <c r="E17" i="5" s="1"/>
  <c r="B29" i="3"/>
  <c r="E84" i="3" s="1"/>
  <c r="D32" i="1"/>
  <c r="B6" i="5" s="1"/>
  <c r="C6" i="5" s="1"/>
  <c r="M6" i="2" s="1"/>
  <c r="N6" i="2" s="1"/>
  <c r="B16" i="5"/>
  <c r="C16" i="5" s="1"/>
  <c r="H16" i="5" s="1"/>
  <c r="J31" i="1"/>
  <c r="F5" i="3" s="1"/>
  <c r="G5" i="3" s="1"/>
  <c r="D81" i="3" s="1"/>
  <c r="C29" i="5"/>
  <c r="F29" i="5" s="1"/>
  <c r="J37" i="1"/>
  <c r="F11" i="3" s="1"/>
  <c r="G11" i="3" s="1"/>
  <c r="I13" i="2"/>
  <c r="B37" i="3"/>
  <c r="E37" i="3" s="1"/>
  <c r="D37" i="5"/>
  <c r="G76" i="5" s="1"/>
  <c r="J76" i="5" s="1"/>
  <c r="C33" i="3"/>
  <c r="F33" i="3" s="1"/>
  <c r="G37" i="1"/>
  <c r="D11" i="5" s="1"/>
  <c r="E11" i="5" s="1"/>
  <c r="D29" i="1"/>
  <c r="B3" i="3" s="1"/>
  <c r="C3" i="3" s="1"/>
  <c r="B79" i="3" s="1"/>
  <c r="B92" i="3" s="1"/>
  <c r="G32" i="1"/>
  <c r="D6" i="3" s="1"/>
  <c r="E6" i="3" s="1"/>
  <c r="C84" i="3" s="1"/>
  <c r="C93" i="3" s="1"/>
  <c r="C34" i="5"/>
  <c r="F34" i="5" s="1"/>
  <c r="D40" i="1"/>
  <c r="B14" i="5" s="1"/>
  <c r="C14" i="5" s="1"/>
  <c r="M14" i="2" s="1"/>
  <c r="N14" i="2" s="1"/>
  <c r="J43" i="1"/>
  <c r="F17" i="5" s="1"/>
  <c r="G17" i="5" s="1"/>
  <c r="D34" i="3"/>
  <c r="G34" i="3" s="1"/>
  <c r="G28" i="1"/>
  <c r="D2" i="3" s="1"/>
  <c r="E2" i="3" s="1"/>
  <c r="C82" i="3" s="1"/>
  <c r="C98" i="3" s="1"/>
  <c r="D29" i="5"/>
  <c r="G84" i="5" s="1"/>
  <c r="J84" i="5" s="1"/>
  <c r="C28" i="3"/>
  <c r="F81" i="3" s="1"/>
  <c r="I81" i="3" s="1"/>
  <c r="J32" i="1"/>
  <c r="F6" i="5" s="1"/>
  <c r="G6" i="5" s="1"/>
  <c r="D84" i="5" s="1"/>
  <c r="D93" i="5" s="1"/>
  <c r="D34" i="1"/>
  <c r="B8" i="5" s="1"/>
  <c r="C8" i="5" s="1"/>
  <c r="B99" i="5" s="1"/>
  <c r="B26" i="5"/>
  <c r="E79" i="5" s="1"/>
  <c r="D28" i="3"/>
  <c r="G81" i="3" s="1"/>
  <c r="J81" i="3" s="1"/>
  <c r="O41" i="1"/>
  <c r="D38" i="3" s="1"/>
  <c r="J42" i="1"/>
  <c r="C40" i="3"/>
  <c r="F40" i="3" s="1"/>
  <c r="C29" i="3"/>
  <c r="F29" i="3" s="1"/>
  <c r="G29" i="1"/>
  <c r="D3" i="5" s="1"/>
  <c r="E3" i="5" s="1"/>
  <c r="C79" i="5" s="1"/>
  <c r="C92" i="5" s="1"/>
  <c r="D35" i="1"/>
  <c r="B9" i="3" s="1"/>
  <c r="C9" i="3" s="1"/>
  <c r="G40" i="1"/>
  <c r="D14" i="5" s="1"/>
  <c r="E14" i="5" s="1"/>
  <c r="C39" i="3"/>
  <c r="F39" i="3" s="1"/>
  <c r="D34" i="5"/>
  <c r="G34" i="5" s="1"/>
  <c r="C25" i="3"/>
  <c r="F25" i="3" s="1"/>
  <c r="J29" i="1"/>
  <c r="F3" i="3" s="1"/>
  <c r="G3" i="3" s="1"/>
  <c r="D79" i="3" s="1"/>
  <c r="D92" i="3" s="1"/>
  <c r="D40" i="3"/>
  <c r="G40" i="3" s="1"/>
  <c r="I18" i="2"/>
  <c r="D39" i="5"/>
  <c r="G39" i="5" s="1"/>
  <c r="C26" i="3"/>
  <c r="F79" i="3" s="1"/>
  <c r="I79" i="3" s="1"/>
  <c r="G31" i="1"/>
  <c r="D5" i="3" s="1"/>
  <c r="E5" i="3" s="1"/>
  <c r="C81" i="3" s="1"/>
  <c r="D26" i="3"/>
  <c r="G79" i="3" s="1"/>
  <c r="C27" i="5"/>
  <c r="F27" i="5" s="1"/>
  <c r="B28" i="5"/>
  <c r="E28" i="5" s="1"/>
  <c r="D30" i="3"/>
  <c r="G30" i="3" s="1"/>
  <c r="B33" i="3"/>
  <c r="E33" i="3" s="1"/>
  <c r="D36" i="5"/>
  <c r="G36" i="5" s="1"/>
  <c r="J40" i="1"/>
  <c r="F14" i="5" s="1"/>
  <c r="G14" i="5" s="1"/>
  <c r="D76" i="5" s="1"/>
  <c r="D41" i="5"/>
  <c r="G41" i="5" s="1"/>
  <c r="I10" i="2"/>
  <c r="J18" i="2"/>
  <c r="B40" i="5"/>
  <c r="E40" i="5" s="1"/>
  <c r="B39" i="3"/>
  <c r="E39" i="3" s="1"/>
  <c r="B39" i="5"/>
  <c r="E39" i="5" s="1"/>
  <c r="F14" i="2"/>
  <c r="G14" i="2" s="1"/>
  <c r="I14" i="2"/>
  <c r="J30" i="1"/>
  <c r="D32" i="3"/>
  <c r="G32" i="3" s="1"/>
  <c r="C33" i="5"/>
  <c r="C37" i="3"/>
  <c r="B41" i="5"/>
  <c r="B41" i="3"/>
  <c r="E77" i="3" s="1"/>
  <c r="H77" i="3" s="1"/>
  <c r="D27" i="5"/>
  <c r="G78" i="5" s="1"/>
  <c r="G91" i="5" s="1"/>
  <c r="J91" i="5" s="1"/>
  <c r="D33" i="1"/>
  <c r="B30" i="3"/>
  <c r="E30" i="3" s="1"/>
  <c r="B35" i="3"/>
  <c r="E35" i="3" s="1"/>
  <c r="B36" i="5"/>
  <c r="E36" i="5" s="1"/>
  <c r="B36" i="3"/>
  <c r="E36" i="3" s="1"/>
  <c r="D44" i="1"/>
  <c r="C41" i="3"/>
  <c r="F77" i="3" s="1"/>
  <c r="I77" i="3" s="1"/>
  <c r="B33" i="5"/>
  <c r="J36" i="1"/>
  <c r="G39" i="1"/>
  <c r="G44" i="1"/>
  <c r="C27" i="3"/>
  <c r="C32" i="3"/>
  <c r="F32" i="3" s="1"/>
  <c r="C32" i="5"/>
  <c r="F32" i="5" s="1"/>
  <c r="G38" i="1"/>
  <c r="D38" i="1"/>
  <c r="C35" i="5"/>
  <c r="F35" i="5" s="1"/>
  <c r="D10" i="5"/>
  <c r="E10" i="5" s="1"/>
  <c r="D33" i="5"/>
  <c r="D33" i="3"/>
  <c r="G33" i="1"/>
  <c r="B27" i="3"/>
  <c r="E78" i="3" s="1"/>
  <c r="E91" i="3" s="1"/>
  <c r="H91" i="3" s="1"/>
  <c r="G34" i="1"/>
  <c r="B32" i="3"/>
  <c r="E32" i="3" s="1"/>
  <c r="J38" i="1"/>
  <c r="C41" i="5"/>
  <c r="B31" i="3"/>
  <c r="E31" i="3" s="1"/>
  <c r="B31" i="5"/>
  <c r="E31" i="5" s="1"/>
  <c r="D25" i="5"/>
  <c r="G25" i="5" s="1"/>
  <c r="D25" i="3"/>
  <c r="G25" i="3" s="1"/>
  <c r="C30" i="3"/>
  <c r="F30" i="3" s="1"/>
  <c r="B32" i="5"/>
  <c r="E32" i="5" s="1"/>
  <c r="G35" i="1"/>
  <c r="C36" i="5"/>
  <c r="F36" i="5" s="1"/>
  <c r="C25" i="5"/>
  <c r="F25" i="5" s="1"/>
  <c r="J28" i="1"/>
  <c r="D31" i="1"/>
  <c r="J33" i="1"/>
  <c r="C31" i="5"/>
  <c r="F31" i="5" s="1"/>
  <c r="D36" i="1"/>
  <c r="D35" i="5"/>
  <c r="G35" i="5" s="1"/>
  <c r="J39" i="1"/>
  <c r="C37" i="5"/>
  <c r="J44" i="1"/>
  <c r="C31" i="3"/>
  <c r="F31" i="3" s="1"/>
  <c r="D27" i="3"/>
  <c r="G27" i="3" s="1"/>
  <c r="D29" i="3"/>
  <c r="G84" i="3" s="1"/>
  <c r="G93" i="3" s="1"/>
  <c r="J93" i="3" s="1"/>
  <c r="D31" i="3"/>
  <c r="G31" i="3" s="1"/>
  <c r="D35" i="3"/>
  <c r="G35" i="3" s="1"/>
  <c r="D37" i="3"/>
  <c r="G76" i="3" s="1"/>
  <c r="J76" i="3" s="1"/>
  <c r="D41" i="3"/>
  <c r="G77" i="3" s="1"/>
  <c r="J77" i="3" s="1"/>
  <c r="B25" i="5"/>
  <c r="D26" i="5"/>
  <c r="B30" i="5"/>
  <c r="E30" i="5" s="1"/>
  <c r="B35" i="5"/>
  <c r="E35" i="5" s="1"/>
  <c r="B26" i="3"/>
  <c r="E26" i="3" s="1"/>
  <c r="B28" i="3"/>
  <c r="E81" i="3" s="1"/>
  <c r="H81" i="3" s="1"/>
  <c r="B34" i="3"/>
  <c r="E34" i="3" s="1"/>
  <c r="C28" i="5"/>
  <c r="F28" i="5" s="1"/>
  <c r="D30" i="5"/>
  <c r="G30" i="5" s="1"/>
  <c r="B37" i="5"/>
  <c r="C40" i="5"/>
  <c r="F40" i="5" s="1"/>
  <c r="D16" i="5"/>
  <c r="E16" i="5" s="1"/>
  <c r="G42" i="1"/>
  <c r="C34" i="3"/>
  <c r="F34" i="3" s="1"/>
  <c r="C36" i="3"/>
  <c r="F36" i="3" s="1"/>
  <c r="F16" i="5"/>
  <c r="G16" i="5" s="1"/>
  <c r="D28" i="5"/>
  <c r="G81" i="5" s="1"/>
  <c r="J81" i="5" s="1"/>
  <c r="D32" i="5"/>
  <c r="G32" i="5" s="1"/>
  <c r="D40" i="5"/>
  <c r="G40" i="5" s="1"/>
  <c r="D36" i="3"/>
  <c r="G36" i="3" s="1"/>
  <c r="B27" i="5"/>
  <c r="B29" i="5"/>
  <c r="E84" i="5" s="1"/>
  <c r="AG26" i="1"/>
  <c r="F5" i="2"/>
  <c r="G5" i="2" s="1"/>
  <c r="I9" i="2"/>
  <c r="F9" i="2"/>
  <c r="G9" i="2" s="1"/>
  <c r="F16" i="2"/>
  <c r="G16" i="2" s="1"/>
  <c r="I16" i="2"/>
  <c r="F13" i="2"/>
  <c r="G13" i="2" s="1"/>
  <c r="I8" i="2"/>
  <c r="I17" i="2"/>
  <c r="I12" i="2"/>
  <c r="G39" i="3"/>
  <c r="E40" i="3"/>
  <c r="F6" i="2"/>
  <c r="G6" i="2" s="1"/>
  <c r="AJ27" i="1"/>
  <c r="AJ28" i="1"/>
  <c r="I6" i="2"/>
  <c r="F4" i="2"/>
  <c r="G4" i="2" s="1"/>
  <c r="AG25" i="1"/>
  <c r="I4" i="2"/>
  <c r="I7" i="2"/>
  <c r="AJ29" i="1"/>
  <c r="F18" i="2"/>
  <c r="G18" i="2" s="1"/>
  <c r="I2" i="2"/>
  <c r="J7" i="2"/>
  <c r="J17" i="2"/>
  <c r="I3" i="2"/>
  <c r="F10" i="2"/>
  <c r="G10" i="2" s="1"/>
  <c r="I11" i="2"/>
  <c r="I5" i="2"/>
  <c r="B82" i="5" l="1"/>
  <c r="B98" i="5" s="1"/>
  <c r="F84" i="5"/>
  <c r="I84" i="5" s="1"/>
  <c r="D4" i="5"/>
  <c r="E4" i="5" s="1"/>
  <c r="C78" i="5" s="1"/>
  <c r="C91" i="5" s="1"/>
  <c r="F41" i="3"/>
  <c r="F3" i="5"/>
  <c r="G3" i="5" s="1"/>
  <c r="D79" i="5" s="1"/>
  <c r="D92" i="5" s="1"/>
  <c r="E81" i="5"/>
  <c r="H81" i="5" s="1"/>
  <c r="E41" i="3"/>
  <c r="F26" i="5"/>
  <c r="F11" i="5"/>
  <c r="G11" i="5" s="1"/>
  <c r="B9" i="5"/>
  <c r="C9" i="5" s="1"/>
  <c r="M9" i="2" s="1"/>
  <c r="N9" i="2" s="1"/>
  <c r="E82" i="3"/>
  <c r="E98" i="3" s="1"/>
  <c r="H98" i="3" s="1"/>
  <c r="B84" i="5"/>
  <c r="B93" i="5" s="1"/>
  <c r="F17" i="3"/>
  <c r="G17" i="3" s="1"/>
  <c r="B4" i="3"/>
  <c r="C4" i="3" s="1"/>
  <c r="B78" i="3" s="1"/>
  <c r="B91" i="3" s="1"/>
  <c r="D17" i="3"/>
  <c r="E17" i="3" s="1"/>
  <c r="H2" i="5"/>
  <c r="H25" i="5" s="1"/>
  <c r="K25" i="5" s="1"/>
  <c r="E76" i="3"/>
  <c r="H76" i="3" s="1"/>
  <c r="F84" i="3"/>
  <c r="F93" i="3" s="1"/>
  <c r="I93" i="3" s="1"/>
  <c r="F78" i="5"/>
  <c r="F91" i="5" s="1"/>
  <c r="I91" i="5" s="1"/>
  <c r="F6" i="3"/>
  <c r="G6" i="3" s="1"/>
  <c r="D84" i="3" s="1"/>
  <c r="D93" i="3" s="1"/>
  <c r="B13" i="5"/>
  <c r="C13" i="5" s="1"/>
  <c r="M13" i="2" s="1"/>
  <c r="N13" i="2" s="1"/>
  <c r="F28" i="3"/>
  <c r="D6" i="5"/>
  <c r="E6" i="5" s="1"/>
  <c r="C84" i="5" s="1"/>
  <c r="C93" i="5" s="1"/>
  <c r="F9" i="3"/>
  <c r="G9" i="3" s="1"/>
  <c r="E83" i="3"/>
  <c r="H83" i="3" s="1"/>
  <c r="B17" i="3"/>
  <c r="C17" i="3" s="1"/>
  <c r="B14" i="3"/>
  <c r="C14" i="3" s="1"/>
  <c r="B76" i="3" s="1"/>
  <c r="M2" i="2"/>
  <c r="N2" i="2" s="1"/>
  <c r="E29" i="3"/>
  <c r="H14" i="5"/>
  <c r="H37" i="5" s="1"/>
  <c r="K37" i="5" s="1"/>
  <c r="B76" i="5"/>
  <c r="B2" i="3"/>
  <c r="C2" i="3" s="1"/>
  <c r="B82" i="3" s="1"/>
  <c r="B98" i="3" s="1"/>
  <c r="G41" i="1"/>
  <c r="D15" i="5" s="1"/>
  <c r="E15" i="5" s="1"/>
  <c r="C80" i="5" s="1"/>
  <c r="G37" i="5"/>
  <c r="G29" i="3"/>
  <c r="F26" i="3"/>
  <c r="F14" i="3"/>
  <c r="G14" i="3" s="1"/>
  <c r="D76" i="3" s="1"/>
  <c r="F83" i="3"/>
  <c r="I83" i="3" s="1"/>
  <c r="H6" i="5"/>
  <c r="H29" i="5" s="1"/>
  <c r="H39" i="5"/>
  <c r="K39" i="5" s="1"/>
  <c r="J78" i="5"/>
  <c r="B6" i="3"/>
  <c r="C6" i="3" s="1"/>
  <c r="B84" i="3" s="1"/>
  <c r="B93" i="3" s="1"/>
  <c r="D2" i="5"/>
  <c r="E2" i="5" s="1"/>
  <c r="C82" i="5" s="1"/>
  <c r="C98" i="5" s="1"/>
  <c r="G26" i="3"/>
  <c r="F8" i="3"/>
  <c r="G8" i="3" s="1"/>
  <c r="G29" i="5"/>
  <c r="B38" i="5"/>
  <c r="E38" i="5" s="1"/>
  <c r="M16" i="2"/>
  <c r="N16" i="2" s="1"/>
  <c r="G93" i="5"/>
  <c r="J93" i="5" s="1"/>
  <c r="B11" i="5"/>
  <c r="C11" i="5" s="1"/>
  <c r="D11" i="3"/>
  <c r="E11" i="3" s="1"/>
  <c r="G77" i="5"/>
  <c r="J77" i="5" s="1"/>
  <c r="I79" i="5"/>
  <c r="F5" i="5"/>
  <c r="G5" i="5" s="1"/>
  <c r="D81" i="5" s="1"/>
  <c r="D5" i="5"/>
  <c r="E5" i="5" s="1"/>
  <c r="C81" i="5" s="1"/>
  <c r="D38" i="5"/>
  <c r="G28" i="3"/>
  <c r="D3" i="3"/>
  <c r="E3" i="3" s="1"/>
  <c r="C79" i="3" s="1"/>
  <c r="C92" i="3" s="1"/>
  <c r="C94" i="3" s="1"/>
  <c r="J41" i="1"/>
  <c r="F15" i="5" s="1"/>
  <c r="G15" i="5" s="1"/>
  <c r="H17" i="5"/>
  <c r="H40" i="5" s="1"/>
  <c r="C38" i="3"/>
  <c r="D41" i="1"/>
  <c r="B15" i="3" s="1"/>
  <c r="C15" i="3" s="1"/>
  <c r="B80" i="3" s="1"/>
  <c r="G27" i="5"/>
  <c r="G82" i="3"/>
  <c r="G98" i="3" s="1"/>
  <c r="J98" i="3" s="1"/>
  <c r="B3" i="5"/>
  <c r="C3" i="5" s="1"/>
  <c r="M3" i="2" s="1"/>
  <c r="N3" i="2" s="1"/>
  <c r="B100" i="5"/>
  <c r="G80" i="3"/>
  <c r="J80" i="3" s="1"/>
  <c r="G38" i="3"/>
  <c r="E26" i="5"/>
  <c r="E79" i="3"/>
  <c r="H79" i="3" s="1"/>
  <c r="B38" i="3"/>
  <c r="E38" i="3" s="1"/>
  <c r="G28" i="5"/>
  <c r="B8" i="3"/>
  <c r="C8" i="3" s="1"/>
  <c r="B99" i="3" s="1"/>
  <c r="F81" i="5"/>
  <c r="I81" i="5" s="1"/>
  <c r="D14" i="3"/>
  <c r="E14" i="3" s="1"/>
  <c r="C76" i="3" s="1"/>
  <c r="C38" i="5"/>
  <c r="F80" i="5" s="1"/>
  <c r="I80" i="5" s="1"/>
  <c r="F82" i="3"/>
  <c r="E92" i="5"/>
  <c r="H92" i="5" s="1"/>
  <c r="H79" i="5"/>
  <c r="J84" i="3"/>
  <c r="G78" i="3"/>
  <c r="J78" i="3" s="1"/>
  <c r="F2" i="5"/>
  <c r="G2" i="5" s="1"/>
  <c r="F2" i="3"/>
  <c r="G2" i="3" s="1"/>
  <c r="H78" i="3"/>
  <c r="F76" i="3"/>
  <c r="I76" i="3" s="1"/>
  <c r="F37" i="3"/>
  <c r="E28" i="3"/>
  <c r="F92" i="3"/>
  <c r="I92" i="3" s="1"/>
  <c r="E78" i="5"/>
  <c r="E27" i="5"/>
  <c r="B10" i="5"/>
  <c r="C10" i="5" s="1"/>
  <c r="B10" i="3"/>
  <c r="C10" i="3" s="1"/>
  <c r="B83" i="3" s="1"/>
  <c r="B12" i="3"/>
  <c r="C12" i="3" s="1"/>
  <c r="B12" i="5"/>
  <c r="C12" i="5" s="1"/>
  <c r="E83" i="5"/>
  <c r="H83" i="5" s="1"/>
  <c r="E33" i="5"/>
  <c r="B7" i="3"/>
  <c r="C7" i="3" s="1"/>
  <c r="B7" i="5"/>
  <c r="C7" i="5" s="1"/>
  <c r="H8" i="5"/>
  <c r="H31" i="5" s="1"/>
  <c r="M8" i="2"/>
  <c r="N8" i="2" s="1"/>
  <c r="F13" i="5"/>
  <c r="G13" i="5" s="1"/>
  <c r="F13" i="3"/>
  <c r="G13" i="3" s="1"/>
  <c r="D13" i="5"/>
  <c r="E13" i="5" s="1"/>
  <c r="D13" i="3"/>
  <c r="E13" i="3" s="1"/>
  <c r="F10" i="3"/>
  <c r="G10" i="3" s="1"/>
  <c r="F10" i="5"/>
  <c r="G10" i="5" s="1"/>
  <c r="G82" i="5"/>
  <c r="J82" i="5" s="1"/>
  <c r="E29" i="5"/>
  <c r="E27" i="3"/>
  <c r="D9" i="5"/>
  <c r="E9" i="5" s="1"/>
  <c r="D9" i="3"/>
  <c r="E9" i="3" s="1"/>
  <c r="F12" i="5"/>
  <c r="G12" i="5" s="1"/>
  <c r="F12" i="3"/>
  <c r="G12" i="3" s="1"/>
  <c r="D7" i="5"/>
  <c r="E7" i="5" s="1"/>
  <c r="D7" i="3"/>
  <c r="E7" i="3" s="1"/>
  <c r="D12" i="3"/>
  <c r="E12" i="3" s="1"/>
  <c r="D12" i="5"/>
  <c r="E12" i="5" s="1"/>
  <c r="D18" i="5"/>
  <c r="E18" i="5" s="1"/>
  <c r="D18" i="3"/>
  <c r="E18" i="3" s="1"/>
  <c r="F78" i="3"/>
  <c r="F27" i="3"/>
  <c r="G41" i="3"/>
  <c r="F7" i="3"/>
  <c r="G7" i="3" s="1"/>
  <c r="F7" i="5"/>
  <c r="G7" i="5" s="1"/>
  <c r="G33" i="3"/>
  <c r="G83" i="3"/>
  <c r="J83" i="3" s="1"/>
  <c r="E76" i="5"/>
  <c r="H76" i="5" s="1"/>
  <c r="E37" i="5"/>
  <c r="F18" i="5"/>
  <c r="G18" i="5" s="1"/>
  <c r="F18" i="3"/>
  <c r="G18" i="3" s="1"/>
  <c r="D77" i="3" s="1"/>
  <c r="B5" i="5"/>
  <c r="C5" i="5" s="1"/>
  <c r="B5" i="3"/>
  <c r="C5" i="3" s="1"/>
  <c r="D8" i="5"/>
  <c r="E8" i="5" s="1"/>
  <c r="D8" i="3"/>
  <c r="E8" i="3" s="1"/>
  <c r="G83" i="5"/>
  <c r="J83" i="5" s="1"/>
  <c r="G33" i="5"/>
  <c r="B18" i="5"/>
  <c r="C18" i="5" s="1"/>
  <c r="B18" i="3"/>
  <c r="C18" i="3" s="1"/>
  <c r="B77" i="3" s="1"/>
  <c r="G37" i="3"/>
  <c r="G79" i="5"/>
  <c r="G26" i="5"/>
  <c r="C83" i="5"/>
  <c r="F82" i="5"/>
  <c r="I82" i="5" s="1"/>
  <c r="E82" i="5"/>
  <c r="E25" i="5"/>
  <c r="F76" i="5"/>
  <c r="I76" i="5" s="1"/>
  <c r="F37" i="5"/>
  <c r="F41" i="5"/>
  <c r="F77" i="5"/>
  <c r="I77" i="5" s="1"/>
  <c r="B78" i="5"/>
  <c r="B91" i="5" s="1"/>
  <c r="H4" i="5"/>
  <c r="H27" i="5" s="1"/>
  <c r="M4" i="2"/>
  <c r="N4" i="2" s="1"/>
  <c r="C76" i="5"/>
  <c r="E77" i="5"/>
  <c r="H77" i="5" s="1"/>
  <c r="E41" i="5"/>
  <c r="F83" i="5"/>
  <c r="I83" i="5" s="1"/>
  <c r="F33" i="5"/>
  <c r="F4" i="5"/>
  <c r="G4" i="5" s="1"/>
  <c r="F4" i="3"/>
  <c r="G4" i="3" s="1"/>
  <c r="D78" i="3" s="1"/>
  <c r="D91" i="3" s="1"/>
  <c r="E93" i="3"/>
  <c r="H93" i="3" s="1"/>
  <c r="H84" i="3"/>
  <c r="E93" i="5"/>
  <c r="H93" i="5" s="1"/>
  <c r="H84" i="5"/>
  <c r="G92" i="3"/>
  <c r="J92" i="3" s="1"/>
  <c r="J79" i="3"/>
  <c r="F93" i="5" l="1"/>
  <c r="I93" i="5" s="1"/>
  <c r="I94" i="5" s="1"/>
  <c r="I95" i="5" s="1"/>
  <c r="C94" i="5"/>
  <c r="H9" i="5"/>
  <c r="H32" i="5" s="1"/>
  <c r="K32" i="5" s="1"/>
  <c r="B15" i="5"/>
  <c r="C15" i="5" s="1"/>
  <c r="B80" i="5" s="1"/>
  <c r="B94" i="3"/>
  <c r="H82" i="3"/>
  <c r="D94" i="3"/>
  <c r="F15" i="3"/>
  <c r="G15" i="3" s="1"/>
  <c r="D80" i="3" s="1"/>
  <c r="H13" i="5"/>
  <c r="H36" i="5" s="1"/>
  <c r="K36" i="5" s="1"/>
  <c r="I84" i="3"/>
  <c r="I78" i="5"/>
  <c r="I85" i="5" s="1"/>
  <c r="F85" i="5" s="1"/>
  <c r="F38" i="5"/>
  <c r="G98" i="5"/>
  <c r="J98" i="5" s="1"/>
  <c r="E80" i="5"/>
  <c r="H80" i="5" s="1"/>
  <c r="B100" i="3"/>
  <c r="F98" i="5"/>
  <c r="I98" i="5" s="1"/>
  <c r="D15" i="3"/>
  <c r="E15" i="3" s="1"/>
  <c r="C80" i="3" s="1"/>
  <c r="B79" i="5"/>
  <c r="B92" i="5" s="1"/>
  <c r="B94" i="5" s="1"/>
  <c r="B104" i="5" s="1"/>
  <c r="M11" i="2"/>
  <c r="N11" i="2" s="1"/>
  <c r="H11" i="5"/>
  <c r="H34" i="5" s="1"/>
  <c r="J82" i="3"/>
  <c r="J85" i="3" s="1"/>
  <c r="G85" i="3" s="1"/>
  <c r="G80" i="5"/>
  <c r="J80" i="5" s="1"/>
  <c r="G38" i="5"/>
  <c r="F38" i="3"/>
  <c r="F80" i="3"/>
  <c r="I80" i="3" s="1"/>
  <c r="H3" i="5"/>
  <c r="H26" i="5" s="1"/>
  <c r="K40" i="5"/>
  <c r="E92" i="3"/>
  <c r="H92" i="3" s="1"/>
  <c r="H94" i="3" s="1"/>
  <c r="H95" i="3" s="1"/>
  <c r="I82" i="3"/>
  <c r="F98" i="3"/>
  <c r="I98" i="3" s="1"/>
  <c r="E19" i="5"/>
  <c r="C66" i="5" s="1"/>
  <c r="E80" i="3"/>
  <c r="H80" i="3" s="1"/>
  <c r="B43" i="3"/>
  <c r="K29" i="5"/>
  <c r="D43" i="3"/>
  <c r="D44" i="3" s="1"/>
  <c r="G91" i="3"/>
  <c r="J91" i="3" s="1"/>
  <c r="J94" i="3" s="1"/>
  <c r="J95" i="3" s="1"/>
  <c r="D77" i="5"/>
  <c r="C77" i="5"/>
  <c r="C85" i="5" s="1"/>
  <c r="H5" i="5"/>
  <c r="H28" i="5" s="1"/>
  <c r="B81" i="5"/>
  <c r="M5" i="2"/>
  <c r="N5" i="2" s="1"/>
  <c r="D78" i="5"/>
  <c r="D91" i="5" s="1"/>
  <c r="D94" i="5" s="1"/>
  <c r="B83" i="5"/>
  <c r="M10" i="2"/>
  <c r="N10" i="2" s="1"/>
  <c r="H10" i="5"/>
  <c r="H33" i="5" s="1"/>
  <c r="E98" i="5"/>
  <c r="H98" i="5" s="1"/>
  <c r="H82" i="5"/>
  <c r="I78" i="3"/>
  <c r="F91" i="3"/>
  <c r="I91" i="3" s="1"/>
  <c r="I94" i="3" s="1"/>
  <c r="I95" i="3" s="1"/>
  <c r="H78" i="5"/>
  <c r="E91" i="5"/>
  <c r="H91" i="5" s="1"/>
  <c r="H94" i="5" s="1"/>
  <c r="H95" i="5" s="1"/>
  <c r="C77" i="3"/>
  <c r="K27" i="5"/>
  <c r="J79" i="5"/>
  <c r="G92" i="5"/>
  <c r="J92" i="5" s="1"/>
  <c r="J94" i="5" s="1"/>
  <c r="J95" i="5" s="1"/>
  <c r="H12" i="5"/>
  <c r="H35" i="5" s="1"/>
  <c r="M12" i="2"/>
  <c r="N12" i="2" s="1"/>
  <c r="D82" i="3"/>
  <c r="D98" i="3" s="1"/>
  <c r="D80" i="5"/>
  <c r="C99" i="3"/>
  <c r="C100" i="3" s="1"/>
  <c r="G19" i="5"/>
  <c r="D82" i="5"/>
  <c r="D98" i="5" s="1"/>
  <c r="D99" i="3"/>
  <c r="C99" i="5"/>
  <c r="C100" i="5" s="1"/>
  <c r="D83" i="5"/>
  <c r="K31" i="5"/>
  <c r="B77" i="5"/>
  <c r="H18" i="5"/>
  <c r="H41" i="5" s="1"/>
  <c r="M18" i="2"/>
  <c r="N18" i="2" s="1"/>
  <c r="B81" i="3"/>
  <c r="B85" i="3" s="1"/>
  <c r="C19" i="3"/>
  <c r="D83" i="3"/>
  <c r="M7" i="2"/>
  <c r="N7" i="2" s="1"/>
  <c r="H7" i="5"/>
  <c r="H30" i="5" s="1"/>
  <c r="M15" i="2" l="1"/>
  <c r="N15" i="2" s="1"/>
  <c r="H15" i="5"/>
  <c r="H38" i="5" s="1"/>
  <c r="B60" i="5"/>
  <c r="G19" i="3"/>
  <c r="G95" i="3" s="1"/>
  <c r="H85" i="3"/>
  <c r="E85" i="3" s="1"/>
  <c r="B104" i="3"/>
  <c r="E57" i="3"/>
  <c r="K57" i="3" s="1"/>
  <c r="E19" i="3"/>
  <c r="C55" i="3" s="1"/>
  <c r="C85" i="3"/>
  <c r="E59" i="3"/>
  <c r="K59" i="3" s="1"/>
  <c r="C53" i="5"/>
  <c r="C55" i="5"/>
  <c r="C86" i="5"/>
  <c r="H85" i="5"/>
  <c r="E85" i="5" s="1"/>
  <c r="C67" i="5"/>
  <c r="E60" i="3"/>
  <c r="K60" i="3" s="1"/>
  <c r="C54" i="5"/>
  <c r="C95" i="5"/>
  <c r="K34" i="5"/>
  <c r="C58" i="5"/>
  <c r="C64" i="5"/>
  <c r="C57" i="5"/>
  <c r="E61" i="3"/>
  <c r="K61" i="3" s="1"/>
  <c r="C52" i="5"/>
  <c r="C68" i="5"/>
  <c r="C59" i="5"/>
  <c r="E58" i="3"/>
  <c r="E99" i="3" s="1"/>
  <c r="H99" i="3" s="1"/>
  <c r="H100" i="3" s="1"/>
  <c r="E101" i="3" s="1"/>
  <c r="E102" i="3" s="1"/>
  <c r="E54" i="3"/>
  <c r="H54" i="3" s="1"/>
  <c r="C62" i="5"/>
  <c r="K26" i="5"/>
  <c r="E53" i="3"/>
  <c r="K53" i="3" s="1"/>
  <c r="E20" i="5"/>
  <c r="E21" i="5" s="1"/>
  <c r="C65" i="5"/>
  <c r="J85" i="5"/>
  <c r="G85" i="5" s="1"/>
  <c r="C60" i="5"/>
  <c r="I85" i="3"/>
  <c r="F85" i="3" s="1"/>
  <c r="C63" i="5"/>
  <c r="E55" i="3"/>
  <c r="H55" i="3" s="1"/>
  <c r="C56" i="5"/>
  <c r="C61" i="5"/>
  <c r="E95" i="3"/>
  <c r="E67" i="3"/>
  <c r="K67" i="3" s="1"/>
  <c r="E65" i="3"/>
  <c r="K65" i="3" s="1"/>
  <c r="C43" i="3"/>
  <c r="C44" i="3" s="1"/>
  <c r="E56" i="3"/>
  <c r="K56" i="3" s="1"/>
  <c r="E63" i="3"/>
  <c r="H63" i="3" s="1"/>
  <c r="E52" i="3"/>
  <c r="H52" i="3" s="1"/>
  <c r="D100" i="3"/>
  <c r="D104" i="3" s="1"/>
  <c r="B60" i="3"/>
  <c r="E62" i="3"/>
  <c r="H62" i="3" s="1"/>
  <c r="E66" i="3"/>
  <c r="K66" i="3" s="1"/>
  <c r="E68" i="3"/>
  <c r="H68" i="3" s="1"/>
  <c r="B55" i="3"/>
  <c r="B85" i="5"/>
  <c r="E64" i="3"/>
  <c r="H64" i="3" s="1"/>
  <c r="B86" i="3"/>
  <c r="D58" i="5"/>
  <c r="D53" i="5"/>
  <c r="D66" i="5"/>
  <c r="D55" i="5"/>
  <c r="D67" i="5"/>
  <c r="D68" i="5"/>
  <c r="D62" i="5"/>
  <c r="G20" i="5"/>
  <c r="D56" i="5"/>
  <c r="D57" i="5"/>
  <c r="D60" i="5"/>
  <c r="D59" i="5"/>
  <c r="D61" i="5"/>
  <c r="D64" i="5"/>
  <c r="D65" i="5"/>
  <c r="K30" i="5"/>
  <c r="D54" i="5"/>
  <c r="D85" i="3"/>
  <c r="C104" i="3"/>
  <c r="K35" i="5"/>
  <c r="K28" i="5"/>
  <c r="D63" i="5"/>
  <c r="D95" i="5"/>
  <c r="D99" i="5"/>
  <c r="D100" i="5" s="1"/>
  <c r="D85" i="5"/>
  <c r="D86" i="5" s="1"/>
  <c r="B66" i="3"/>
  <c r="B67" i="3"/>
  <c r="B53" i="3"/>
  <c r="B61" i="3"/>
  <c r="B65" i="3"/>
  <c r="B54" i="3"/>
  <c r="B63" i="3"/>
  <c r="B62" i="3"/>
  <c r="B101" i="3"/>
  <c r="B58" i="3"/>
  <c r="B68" i="3"/>
  <c r="B64" i="3"/>
  <c r="B52" i="3"/>
  <c r="B121" i="3"/>
  <c r="B56" i="3"/>
  <c r="B95" i="3"/>
  <c r="B59" i="3"/>
  <c r="C20" i="3"/>
  <c r="C101" i="5"/>
  <c r="C104" i="5"/>
  <c r="B61" i="5"/>
  <c r="K41" i="5"/>
  <c r="D52" i="5"/>
  <c r="K33" i="5"/>
  <c r="B57" i="3"/>
  <c r="N19" i="2" l="1"/>
  <c r="K38" i="5"/>
  <c r="H42" i="5" s="1"/>
  <c r="B43" i="5" s="1"/>
  <c r="B62" i="5"/>
  <c r="B121" i="5"/>
  <c r="B52" i="5"/>
  <c r="B65" i="5"/>
  <c r="B95" i="5"/>
  <c r="B57" i="5"/>
  <c r="B59" i="5"/>
  <c r="C20" i="5"/>
  <c r="B66" i="5"/>
  <c r="B101" i="5"/>
  <c r="H19" i="5"/>
  <c r="H20" i="5" s="1"/>
  <c r="H45" i="5" s="1"/>
  <c r="B63" i="5"/>
  <c r="B67" i="5"/>
  <c r="B56" i="5"/>
  <c r="B55" i="5"/>
  <c r="B54" i="5"/>
  <c r="B53" i="5"/>
  <c r="B58" i="5"/>
  <c r="M19" i="2"/>
  <c r="B68" i="5"/>
  <c r="B86" i="5"/>
  <c r="B64" i="5"/>
  <c r="C66" i="3"/>
  <c r="D56" i="3"/>
  <c r="F95" i="3"/>
  <c r="C63" i="3"/>
  <c r="F67" i="3"/>
  <c r="I67" i="3" s="1"/>
  <c r="F57" i="3"/>
  <c r="L57" i="3" s="1"/>
  <c r="D52" i="3"/>
  <c r="G60" i="3"/>
  <c r="J60" i="3" s="1"/>
  <c r="H58" i="3"/>
  <c r="G62" i="3"/>
  <c r="J62" i="3" s="1"/>
  <c r="D61" i="3"/>
  <c r="G54" i="3"/>
  <c r="M54" i="3" s="1"/>
  <c r="D59" i="3"/>
  <c r="G67" i="3"/>
  <c r="J67" i="3" s="1"/>
  <c r="G63" i="3"/>
  <c r="J63" i="3" s="1"/>
  <c r="G65" i="3"/>
  <c r="J65" i="3" s="1"/>
  <c r="G64" i="3"/>
  <c r="J64" i="3" s="1"/>
  <c r="D67" i="3"/>
  <c r="G57" i="3"/>
  <c r="J57" i="3" s="1"/>
  <c r="D66" i="3"/>
  <c r="G53" i="3"/>
  <c r="J53" i="3" s="1"/>
  <c r="C95" i="3"/>
  <c r="H61" i="3"/>
  <c r="D57" i="3"/>
  <c r="G56" i="3"/>
  <c r="J56" i="3" s="1"/>
  <c r="G59" i="3"/>
  <c r="J59" i="3" s="1"/>
  <c r="G61" i="3"/>
  <c r="M61" i="3" s="1"/>
  <c r="G58" i="3"/>
  <c r="J58" i="3" s="1"/>
  <c r="H59" i="3"/>
  <c r="D58" i="3"/>
  <c r="D62" i="3"/>
  <c r="G68" i="3"/>
  <c r="M68" i="3" s="1"/>
  <c r="G20" i="3"/>
  <c r="G21" i="3" s="1"/>
  <c r="D54" i="3"/>
  <c r="D63" i="3"/>
  <c r="D68" i="3"/>
  <c r="D86" i="3"/>
  <c r="D60" i="3"/>
  <c r="G52" i="3"/>
  <c r="M52" i="3" s="1"/>
  <c r="G66" i="3"/>
  <c r="M66" i="3" s="1"/>
  <c r="D65" i="3"/>
  <c r="D53" i="3"/>
  <c r="G55" i="3"/>
  <c r="M55" i="3" s="1"/>
  <c r="D95" i="3"/>
  <c r="D64" i="3"/>
  <c r="D55" i="3"/>
  <c r="C58" i="3"/>
  <c r="F52" i="3"/>
  <c r="L52" i="3" s="1"/>
  <c r="C57" i="3"/>
  <c r="F62" i="3"/>
  <c r="L62" i="3" s="1"/>
  <c r="F61" i="3"/>
  <c r="I61" i="3" s="1"/>
  <c r="C86" i="3"/>
  <c r="K62" i="3"/>
  <c r="F56" i="3"/>
  <c r="L56" i="3" s="1"/>
  <c r="C64" i="3"/>
  <c r="F54" i="3"/>
  <c r="I54" i="3" s="1"/>
  <c r="F65" i="3"/>
  <c r="L65" i="3" s="1"/>
  <c r="H60" i="3"/>
  <c r="F53" i="3"/>
  <c r="L53" i="3" s="1"/>
  <c r="K58" i="3"/>
  <c r="C54" i="3"/>
  <c r="C68" i="3"/>
  <c r="H57" i="3"/>
  <c r="C101" i="3"/>
  <c r="F59" i="3"/>
  <c r="L59" i="3" s="1"/>
  <c r="F64" i="3"/>
  <c r="I64" i="3" s="1"/>
  <c r="C67" i="3"/>
  <c r="F60" i="3"/>
  <c r="L60" i="3" s="1"/>
  <c r="F58" i="3"/>
  <c r="I58" i="3" s="1"/>
  <c r="C60" i="3"/>
  <c r="F66" i="3"/>
  <c r="I66" i="3" s="1"/>
  <c r="F63" i="3"/>
  <c r="I63" i="3" s="1"/>
  <c r="F55" i="3"/>
  <c r="L55" i="3" s="1"/>
  <c r="C59" i="3"/>
  <c r="C52" i="3"/>
  <c r="F68" i="3"/>
  <c r="I68" i="3" s="1"/>
  <c r="C62" i="3"/>
  <c r="E20" i="3"/>
  <c r="E21" i="3" s="1"/>
  <c r="C65" i="3"/>
  <c r="H56" i="3"/>
  <c r="K54" i="3"/>
  <c r="C61" i="3"/>
  <c r="H67" i="3"/>
  <c r="C53" i="3"/>
  <c r="C56" i="3"/>
  <c r="K52" i="3"/>
  <c r="K68" i="3"/>
  <c r="K55" i="3"/>
  <c r="E104" i="3"/>
  <c r="K63" i="3"/>
  <c r="H53" i="3"/>
  <c r="D101" i="3"/>
  <c r="H65" i="3"/>
  <c r="C70" i="5"/>
  <c r="H66" i="3"/>
  <c r="J54" i="3"/>
  <c r="E87" i="3"/>
  <c r="E88" i="3" s="1"/>
  <c r="K64" i="3"/>
  <c r="D101" i="5"/>
  <c r="D104" i="5"/>
  <c r="D70" i="5"/>
  <c r="G21" i="5"/>
  <c r="B70" i="3"/>
  <c r="M20" i="2" l="1"/>
  <c r="M67" i="3"/>
  <c r="B70" i="5"/>
  <c r="L67" i="3"/>
  <c r="M63" i="3"/>
  <c r="M60" i="3"/>
  <c r="I52" i="3"/>
  <c r="M65" i="3"/>
  <c r="M64" i="3"/>
  <c r="M56" i="3"/>
  <c r="J68" i="3"/>
  <c r="M62" i="3"/>
  <c r="L54" i="3"/>
  <c r="I65" i="3"/>
  <c r="M53" i="3"/>
  <c r="M59" i="3"/>
  <c r="G99" i="3"/>
  <c r="J99" i="3" s="1"/>
  <c r="J100" i="3" s="1"/>
  <c r="G101" i="3" s="1"/>
  <c r="G102" i="3" s="1"/>
  <c r="G104" i="3" s="1"/>
  <c r="M57" i="3"/>
  <c r="M58" i="3"/>
  <c r="I57" i="3"/>
  <c r="L61" i="3"/>
  <c r="I62" i="3"/>
  <c r="J61" i="3"/>
  <c r="J66" i="3"/>
  <c r="I56" i="3"/>
  <c r="I59" i="3"/>
  <c r="D70" i="3"/>
  <c r="L58" i="3"/>
  <c r="J55" i="3"/>
  <c r="I55" i="3"/>
  <c r="G87" i="3"/>
  <c r="G88" i="3" s="1"/>
  <c r="J52" i="3"/>
  <c r="L66" i="3"/>
  <c r="L63" i="3"/>
  <c r="I60" i="3"/>
  <c r="F87" i="3"/>
  <c r="F88" i="3" s="1"/>
  <c r="I53" i="3"/>
  <c r="F99" i="3"/>
  <c r="I99" i="3" s="1"/>
  <c r="I100" i="3" s="1"/>
  <c r="F101" i="3" s="1"/>
  <c r="F102" i="3" s="1"/>
  <c r="F104" i="3" s="1"/>
  <c r="L64" i="3"/>
  <c r="C70" i="3"/>
  <c r="L68" i="3"/>
  <c r="H70" i="3"/>
  <c r="E56" i="5"/>
  <c r="E52" i="5"/>
  <c r="E62" i="5"/>
  <c r="E66" i="5"/>
  <c r="E54" i="5"/>
  <c r="E60" i="5"/>
  <c r="E68" i="5"/>
  <c r="E67" i="5"/>
  <c r="E64" i="5"/>
  <c r="E61" i="5"/>
  <c r="E65" i="5"/>
  <c r="E59" i="5"/>
  <c r="E58" i="5"/>
  <c r="E63" i="5"/>
  <c r="E55" i="5"/>
  <c r="E53" i="5"/>
  <c r="E57" i="5"/>
  <c r="E95" i="5"/>
  <c r="M21" i="2" l="1"/>
  <c r="M22" i="2" s="1"/>
  <c r="I70" i="3"/>
  <c r="J70" i="3"/>
  <c r="H55" i="5"/>
  <c r="K55" i="5"/>
  <c r="K60" i="5"/>
  <c r="H60" i="5"/>
  <c r="K58" i="5"/>
  <c r="E99" i="5"/>
  <c r="H99" i="5" s="1"/>
  <c r="H100" i="5" s="1"/>
  <c r="E101" i="5" s="1"/>
  <c r="E102" i="5" s="1"/>
  <c r="E104" i="5" s="1"/>
  <c r="H58" i="5"/>
  <c r="K68" i="5"/>
  <c r="H68" i="5"/>
  <c r="K54" i="5"/>
  <c r="H54" i="5"/>
  <c r="K59" i="5"/>
  <c r="H59" i="5"/>
  <c r="H57" i="5"/>
  <c r="K57" i="5"/>
  <c r="K52" i="5"/>
  <c r="H52" i="5"/>
  <c r="H67" i="5"/>
  <c r="K67" i="5"/>
  <c r="K63" i="5"/>
  <c r="H63" i="5"/>
  <c r="K66" i="5"/>
  <c r="H66" i="5"/>
  <c r="K65" i="5"/>
  <c r="H65" i="5"/>
  <c r="K62" i="5"/>
  <c r="H62" i="5"/>
  <c r="K61" i="5"/>
  <c r="H61" i="5"/>
  <c r="K53" i="5"/>
  <c r="H53" i="5"/>
  <c r="K64" i="5"/>
  <c r="H64" i="5"/>
  <c r="E87" i="5"/>
  <c r="E88" i="5" s="1"/>
  <c r="H56" i="5"/>
  <c r="K56" i="5"/>
  <c r="H70" i="5" l="1"/>
  <c r="J9" i="5"/>
  <c r="J32" i="5" s="1"/>
  <c r="M32" i="5" s="1"/>
  <c r="J8" i="5"/>
  <c r="J31" i="5" s="1"/>
  <c r="M31" i="5" s="1"/>
  <c r="J6" i="5"/>
  <c r="J29" i="5" s="1"/>
  <c r="M29" i="5" s="1"/>
  <c r="J17" i="5"/>
  <c r="J40" i="5" s="1"/>
  <c r="M40" i="5" s="1"/>
  <c r="J16" i="5"/>
  <c r="J39" i="5" s="1"/>
  <c r="M39" i="5" s="1"/>
  <c r="J11" i="5"/>
  <c r="J34" i="5" s="1"/>
  <c r="M34" i="5" s="1"/>
  <c r="J14" i="5"/>
  <c r="J37" i="5" s="1"/>
  <c r="M37" i="5" s="1"/>
  <c r="J3" i="5"/>
  <c r="J26" i="5" s="1"/>
  <c r="M26" i="5" s="1"/>
  <c r="J5" i="5"/>
  <c r="J28" i="5" s="1"/>
  <c r="M28" i="5" s="1"/>
  <c r="J13" i="5"/>
  <c r="J36" i="5" s="1"/>
  <c r="M36" i="5" s="1"/>
  <c r="J15" i="5"/>
  <c r="J38" i="5" s="1"/>
  <c r="M38" i="5" s="1"/>
  <c r="J2" i="5"/>
  <c r="J25" i="5" s="1"/>
  <c r="M25" i="5" s="1"/>
  <c r="J12" i="5"/>
  <c r="J35" i="5" s="1"/>
  <c r="M35" i="5" s="1"/>
  <c r="J18" i="5"/>
  <c r="J41" i="5" s="1"/>
  <c r="M41" i="5" s="1"/>
  <c r="J4" i="5"/>
  <c r="J27" i="5" s="1"/>
  <c r="M27" i="5" s="1"/>
  <c r="J10" i="5"/>
  <c r="J33" i="5" s="1"/>
  <c r="M33" i="5" s="1"/>
  <c r="J7" i="5"/>
  <c r="J30" i="5" s="1"/>
  <c r="M30" i="5" s="1"/>
  <c r="J19" i="5"/>
  <c r="J20" i="5" s="1"/>
  <c r="P25" i="5"/>
  <c r="P51" i="5"/>
  <c r="I10" i="5"/>
  <c r="I33" i="5" s="1"/>
  <c r="O3" i="2"/>
  <c r="P3" i="2" s="1"/>
  <c r="I11" i="5"/>
  <c r="I34" i="5" s="1"/>
  <c r="I15" i="5"/>
  <c r="I38" i="5" s="1"/>
  <c r="I3" i="5"/>
  <c r="I26" i="5" s="1"/>
  <c r="O15" i="2"/>
  <c r="P15" i="2" s="1"/>
  <c r="O6" i="2"/>
  <c r="P6" i="2" s="1"/>
  <c r="I5" i="5"/>
  <c r="I28" i="5" s="1"/>
  <c r="I2" i="5"/>
  <c r="I25" i="5" s="1"/>
  <c r="I6" i="5"/>
  <c r="I29" i="5" s="1"/>
  <c r="O11" i="2"/>
  <c r="P11" i="2" s="1"/>
  <c r="O10" i="2"/>
  <c r="P10" i="2" s="1"/>
  <c r="O5" i="2"/>
  <c r="P5" i="2" s="1"/>
  <c r="O16" i="2"/>
  <c r="P16" i="2" s="1"/>
  <c r="I4" i="5"/>
  <c r="I27" i="5" s="1"/>
  <c r="I17" i="5"/>
  <c r="I40" i="5" s="1"/>
  <c r="I16" i="5"/>
  <c r="I39" i="5" s="1"/>
  <c r="O2" i="2"/>
  <c r="P2" i="2" s="1"/>
  <c r="O4" i="2"/>
  <c r="P4" i="2" s="1"/>
  <c r="O17" i="2"/>
  <c r="P17" i="2" s="1"/>
  <c r="O14" i="2"/>
  <c r="P14" i="2" s="1"/>
  <c r="I14" i="5"/>
  <c r="I37" i="5" s="1"/>
  <c r="I19" i="5"/>
  <c r="I20" i="5" s="1"/>
  <c r="O9" i="2"/>
  <c r="P9" i="2" s="1"/>
  <c r="O12" i="2"/>
  <c r="P12" i="2" s="1"/>
  <c r="I8" i="5"/>
  <c r="I31" i="5" s="1"/>
  <c r="O19" i="2"/>
  <c r="I9" i="5"/>
  <c r="I32" i="5" s="1"/>
  <c r="I12" i="5"/>
  <c r="I35" i="5" s="1"/>
  <c r="O8" i="2"/>
  <c r="P8" i="2" s="1"/>
  <c r="O13" i="2"/>
  <c r="P13" i="2" s="1"/>
  <c r="O7" i="2"/>
  <c r="P7" i="2" s="1"/>
  <c r="I18" i="5"/>
  <c r="I41" i="5" s="1"/>
  <c r="I13" i="5"/>
  <c r="I36" i="5" s="1"/>
  <c r="O18" i="2"/>
  <c r="P18" i="2" s="1"/>
  <c r="I7" i="5"/>
  <c r="I30" i="5" s="1"/>
  <c r="O51" i="5"/>
  <c r="O25" i="5"/>
  <c r="J45" i="5" l="1"/>
  <c r="L41" i="5"/>
  <c r="L39" i="5"/>
  <c r="L25" i="5"/>
  <c r="L33" i="5"/>
  <c r="L34" i="5"/>
  <c r="L40" i="5"/>
  <c r="L28" i="5"/>
  <c r="L31" i="5"/>
  <c r="J42" i="5"/>
  <c r="L29" i="5"/>
  <c r="P19" i="2"/>
  <c r="O20" i="2" s="1"/>
  <c r="L36" i="5"/>
  <c r="L35" i="5"/>
  <c r="L26" i="5"/>
  <c r="L27" i="5"/>
  <c r="L37" i="5"/>
  <c r="L30" i="5"/>
  <c r="L32" i="5"/>
  <c r="L38" i="5"/>
  <c r="I45" i="5" l="1"/>
  <c r="O21" i="2"/>
  <c r="F52" i="5"/>
  <c r="I42" i="5"/>
  <c r="G53" i="5"/>
  <c r="G57" i="5"/>
  <c r="G59" i="5"/>
  <c r="G58" i="5"/>
  <c r="G56" i="5"/>
  <c r="G64" i="5"/>
  <c r="G62" i="5"/>
  <c r="G65" i="5"/>
  <c r="G67" i="5"/>
  <c r="G52" i="5"/>
  <c r="G54" i="5"/>
  <c r="G68" i="5"/>
  <c r="G66" i="5"/>
  <c r="G60" i="5"/>
  <c r="G63" i="5"/>
  <c r="G55" i="5"/>
  <c r="G61" i="5"/>
  <c r="D43" i="5"/>
  <c r="D44" i="5" s="1"/>
  <c r="J44" i="5" s="1"/>
  <c r="G95" i="5"/>
  <c r="C43" i="5" l="1"/>
  <c r="C44" i="5" s="1"/>
  <c r="F64" i="5"/>
  <c r="I64" i="5" s="1"/>
  <c r="F53" i="5"/>
  <c r="F59" i="5"/>
  <c r="L59" i="5" s="1"/>
  <c r="F67" i="5"/>
  <c r="L67" i="5" s="1"/>
  <c r="F65" i="5"/>
  <c r="F55" i="5"/>
  <c r="F57" i="5"/>
  <c r="L57" i="5" s="1"/>
  <c r="F95" i="5"/>
  <c r="F54" i="5"/>
  <c r="F63" i="5"/>
  <c r="F61" i="5"/>
  <c r="F66" i="5"/>
  <c r="F60" i="5"/>
  <c r="F58" i="5"/>
  <c r="F99" i="5" s="1"/>
  <c r="I99" i="5" s="1"/>
  <c r="I100" i="5" s="1"/>
  <c r="F101" i="5" s="1"/>
  <c r="F102" i="5" s="1"/>
  <c r="F68" i="5"/>
  <c r="I68" i="5" s="1"/>
  <c r="I52" i="5"/>
  <c r="L52" i="5"/>
  <c r="F56" i="5"/>
  <c r="F62" i="5"/>
  <c r="M61" i="5"/>
  <c r="J61" i="5"/>
  <c r="M67" i="5"/>
  <c r="J67" i="5"/>
  <c r="J53" i="5"/>
  <c r="M53" i="5"/>
  <c r="M55" i="5"/>
  <c r="J55" i="5"/>
  <c r="M65" i="5"/>
  <c r="J65" i="5"/>
  <c r="J59" i="5"/>
  <c r="M59" i="5"/>
  <c r="J62" i="5"/>
  <c r="M62" i="5"/>
  <c r="M64" i="5"/>
  <c r="J64" i="5"/>
  <c r="G87" i="5"/>
  <c r="G88" i="5" s="1"/>
  <c r="J54" i="5"/>
  <c r="M54" i="5"/>
  <c r="J52" i="5"/>
  <c r="M52" i="5"/>
  <c r="M60" i="5"/>
  <c r="J60" i="5"/>
  <c r="M66" i="5"/>
  <c r="J66" i="5"/>
  <c r="M56" i="5"/>
  <c r="J56" i="5"/>
  <c r="J57" i="5"/>
  <c r="M57" i="5"/>
  <c r="M63" i="5"/>
  <c r="J63" i="5"/>
  <c r="J68" i="5"/>
  <c r="M68" i="5"/>
  <c r="G99" i="5"/>
  <c r="J99" i="5" s="1"/>
  <c r="J100" i="5" s="1"/>
  <c r="G101" i="5" s="1"/>
  <c r="G102" i="5" s="1"/>
  <c r="G104" i="5" s="1"/>
  <c r="M58" i="5"/>
  <c r="J58" i="5"/>
  <c r="I59" i="5" l="1"/>
  <c r="I67" i="5"/>
  <c r="L64" i="5"/>
  <c r="F104" i="5"/>
  <c r="L68" i="5"/>
  <c r="I57" i="5"/>
  <c r="I53" i="5"/>
  <c r="L53" i="5"/>
  <c r="I61" i="5"/>
  <c r="L61" i="5"/>
  <c r="L63" i="5"/>
  <c r="I63" i="5"/>
  <c r="L54" i="5"/>
  <c r="I54" i="5"/>
  <c r="L58" i="5"/>
  <c r="I58" i="5"/>
  <c r="L60" i="5"/>
  <c r="I60" i="5"/>
  <c r="I55" i="5"/>
  <c r="L55" i="5"/>
  <c r="L66" i="5"/>
  <c r="I66" i="5"/>
  <c r="L65" i="5"/>
  <c r="I65" i="5"/>
  <c r="L62" i="5"/>
  <c r="I62" i="5"/>
  <c r="L56" i="5"/>
  <c r="I56" i="5"/>
  <c r="F87" i="5"/>
  <c r="F88" i="5" s="1"/>
  <c r="J70" i="5"/>
  <c r="I70" i="5" l="1"/>
  <c r="O22" i="2"/>
  <c r="AA63" i="2" s="1"/>
</calcChain>
</file>

<file path=xl/sharedStrings.xml><?xml version="1.0" encoding="utf-8"?>
<sst xmlns="http://schemas.openxmlformats.org/spreadsheetml/2006/main" count="425" uniqueCount="151">
  <si>
    <t>Phenylalanine</t>
  </si>
  <si>
    <t>Leucine</t>
  </si>
  <si>
    <t>Tryptophan</t>
  </si>
  <si>
    <t>Isoleucine</t>
  </si>
  <si>
    <t>Methionine</t>
  </si>
  <si>
    <t>Valine</t>
  </si>
  <si>
    <t>Proline</t>
  </si>
  <si>
    <t>Tyrosine</t>
  </si>
  <si>
    <t>Alanine</t>
  </si>
  <si>
    <t>Threonine</t>
  </si>
  <si>
    <t>Glycine</t>
  </si>
  <si>
    <t>Serine</t>
  </si>
  <si>
    <t>Arginine</t>
  </si>
  <si>
    <t>Lysine</t>
  </si>
  <si>
    <t>Ornithine</t>
  </si>
  <si>
    <t>Sample</t>
  </si>
  <si>
    <t>Raw A</t>
  </si>
  <si>
    <t>Raw B</t>
  </si>
  <si>
    <t>Raw A2</t>
  </si>
  <si>
    <t>PE RAW A</t>
  </si>
  <si>
    <t>PE Raw B</t>
  </si>
  <si>
    <t>PE SWE A</t>
  </si>
  <si>
    <t>PE SWE B</t>
  </si>
  <si>
    <t>AA A</t>
  </si>
  <si>
    <t>AA B</t>
  </si>
  <si>
    <t>AA</t>
  </si>
  <si>
    <t>Glutamic Acid</t>
  </si>
  <si>
    <t>Aspartic Acid</t>
  </si>
  <si>
    <t>Histidine</t>
  </si>
  <si>
    <t>Amino acid</t>
  </si>
  <si>
    <t>Mw (g/mol)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</si>
  <si>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</si>
  <si>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</si>
  <si>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</si>
  <si>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</si>
  <si>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</si>
  <si>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</si>
  <si>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</si>
  <si>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</si>
  <si>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</si>
  <si>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</si>
  <si>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</si>
  <si>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</si>
  <si>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</si>
  <si>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</si>
  <si>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</si>
  <si>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AA2</t>
  </si>
  <si>
    <t>AA3</t>
  </si>
  <si>
    <t>AVERAGE AA</t>
  </si>
  <si>
    <t>aa a2</t>
  </si>
  <si>
    <t>AA A 3</t>
  </si>
  <si>
    <t>AA B2</t>
  </si>
  <si>
    <t>AA B3</t>
  </si>
  <si>
    <t>RAW</t>
  </si>
  <si>
    <t>PE RAW</t>
  </si>
  <si>
    <t xml:space="preserve">PESWE </t>
  </si>
  <si>
    <t>AA H</t>
  </si>
  <si>
    <t>AA STD</t>
  </si>
  <si>
    <t>STDEV</t>
  </si>
  <si>
    <t>STDEV2</t>
  </si>
  <si>
    <t>STDEV3</t>
  </si>
  <si>
    <t>STDEV4</t>
  </si>
  <si>
    <t>STDEV5</t>
  </si>
  <si>
    <t>Recovery</t>
  </si>
  <si>
    <t>corrected</t>
  </si>
  <si>
    <t>corrected2</t>
  </si>
  <si>
    <t>CORRECTED3</t>
  </si>
  <si>
    <t>PE Raw mg/ g SCG</t>
  </si>
  <si>
    <t>leucine</t>
  </si>
  <si>
    <t>umol/L</t>
  </si>
  <si>
    <t>UNITS = nG/ML</t>
  </si>
  <si>
    <t>Raw mg/ g SCG</t>
  </si>
  <si>
    <t>mg/ml</t>
  </si>
  <si>
    <t>Sum</t>
  </si>
  <si>
    <t>Amino Acid</t>
  </si>
  <si>
    <t>Column16</t>
  </si>
  <si>
    <t>Column17</t>
  </si>
  <si>
    <t>std conc (M)</t>
  </si>
  <si>
    <t>g/L</t>
  </si>
  <si>
    <t>DF = 50</t>
  </si>
  <si>
    <t>expected mg/ g</t>
  </si>
  <si>
    <t>RAW mg/mL</t>
  </si>
  <si>
    <t>PE RAW  mg/mL</t>
  </si>
  <si>
    <t>PE SWE mg/ mL</t>
  </si>
  <si>
    <t>PE SWE mg/ g SCG</t>
  </si>
  <si>
    <t>PE RAW mg/ g PESCG</t>
  </si>
  <si>
    <t>% solid material</t>
  </si>
  <si>
    <t>% scg</t>
  </si>
  <si>
    <t>RAW mg/ g SCG</t>
  </si>
  <si>
    <t>stdev</t>
  </si>
  <si>
    <t>SUM</t>
  </si>
  <si>
    <t>Raw SCG</t>
  </si>
  <si>
    <t>PP PE RAW</t>
  </si>
  <si>
    <t>PP PE SWE</t>
  </si>
  <si>
    <t>Essential AA</t>
  </si>
  <si>
    <t>raw</t>
  </si>
  <si>
    <t>pp pe raw</t>
  </si>
  <si>
    <t>pppeswe</t>
  </si>
  <si>
    <t>sum</t>
  </si>
  <si>
    <t>BCAA</t>
  </si>
  <si>
    <t>AAA</t>
  </si>
  <si>
    <t>%PROTEIN</t>
  </si>
  <si>
    <t>fischer ratio</t>
  </si>
  <si>
    <t>tyrosine</t>
  </si>
  <si>
    <t>raw sd^2</t>
  </si>
  <si>
    <t>PE Raw mg/ g SCG sd^2</t>
  </si>
  <si>
    <t>PE SWE mg/ g SCG sd^2</t>
  </si>
  <si>
    <t>% total protein error</t>
  </si>
  <si>
    <t>error (addition% protein SD)</t>
  </si>
  <si>
    <t xml:space="preserve">error essential AA </t>
  </si>
  <si>
    <t>error addition SD AA</t>
  </si>
  <si>
    <t>Essential AA  protein error</t>
  </si>
  <si>
    <t>Sum/ SD total</t>
  </si>
  <si>
    <t>BCAA % error</t>
  </si>
  <si>
    <t>error bars</t>
  </si>
  <si>
    <t>pp pe swe</t>
  </si>
  <si>
    <t>AA % solids</t>
  </si>
  <si>
    <t>Protein content</t>
  </si>
  <si>
    <t>raw mg/ g SCg DB</t>
  </si>
  <si>
    <t>pp pe raw2</t>
  </si>
  <si>
    <t>raw2</t>
  </si>
  <si>
    <t>pp pe raw3</t>
  </si>
  <si>
    <t>pppeswe4</t>
  </si>
  <si>
    <t>raw sd^2 DB</t>
  </si>
  <si>
    <t>dry basis</t>
  </si>
  <si>
    <t>As received</t>
  </si>
  <si>
    <t>error aaa % protein</t>
  </si>
  <si>
    <t>pp pe raw mg/ g DB</t>
  </si>
  <si>
    <t>pp pe swe mg/g db</t>
  </si>
  <si>
    <t>PP PE RAW  mg/mL</t>
  </si>
  <si>
    <t>PP PE RAW mg/ g PESCG</t>
  </si>
  <si>
    <t>PP PE SWE mg/ mL</t>
  </si>
  <si>
    <t>PP PE SWE mg/ g SCG</t>
  </si>
  <si>
    <t>PP pe raw mg/ g DB</t>
  </si>
  <si>
    <t>PP pe swe mg/g db</t>
  </si>
  <si>
    <t>pp PE Raw mg/ g SCG sd^2 DB</t>
  </si>
  <si>
    <t>pp PE SWE mg/ g SCG sd^2 DB</t>
  </si>
  <si>
    <t>PP PE Raw mg/ g SCG</t>
  </si>
  <si>
    <t>RAW MC STDEV^2</t>
  </si>
  <si>
    <t>PP PE RAW MC STDEV^2</t>
  </si>
  <si>
    <t>PP PE SWE MC STDEV^2</t>
  </si>
  <si>
    <t xml:space="preserve">N </t>
  </si>
  <si>
    <t>N (mg)</t>
  </si>
  <si>
    <t>raw mg/ g scg</t>
  </si>
  <si>
    <t>ornithine</t>
  </si>
  <si>
    <t>lysine</t>
  </si>
  <si>
    <t>N % amino acid</t>
  </si>
  <si>
    <t>nrel: % AA of solid</t>
  </si>
  <si>
    <t>N AVERAGE %</t>
  </si>
  <si>
    <t>NPCF</t>
  </si>
  <si>
    <t>CALC PROTIEN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</si>
</sst>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2" fillId="2" borderId="1" xfId="0" applyFont="1" applyFill="1" applyBorder="1"/>
    <xf numFmtId="0" fontId="0" fillId="3" borderId="1" xfId="0" applyFont="1" applyFill="1" applyBorder="1"/>
    <xf numFmtId="0" fontId="0" fillId="0" borderId="1" xfId="0" applyFont="1" applyBorder="1"/>
    <xf numFmtId="9" fontId="0" fillId="0" borderId="0" xfId="1" applyFont="1"/>
    <xf numFmtId="0" fontId="0" fillId="3" borderId="0" xfId="0" applyFont="1" applyFill="1" applyBorder="1"/>
    <xf numFmtId="0" fontId="3" fillId="0" borderId="2" xfId="0" applyFont="1" applyBorder="1"/>
    <xf numFmtId="0" fontId="0" fillId="0" borderId="0" xfId="0" applyNumberFormat="1" applyBorder="1"/>
    <xf numFmtId="0" fontId="0" fillId="0" borderId="0" xfId="0" applyNumberFormat="1"/>
    <xf numFmtId="0" fontId="2" fillId="2" borderId="3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3" fillId="0" borderId="1" xfId="0" applyFont="1" applyBorder="1"/>
    <xf numFmtId="0" fontId="3" fillId="3" borderId="1" xfId="0" applyFont="1" applyFill="1" applyBorder="1"/>
    <xf numFmtId="9" fontId="0" fillId="0" borderId="0" xfId="1" applyFont="1" applyBorder="1"/>
    <xf numFmtId="0" fontId="0" fillId="3" borderId="4" xfId="0" applyFont="1" applyFill="1" applyBorder="1"/>
    <xf numFmtId="0" fontId="4" fillId="0" borderId="5" xfId="0" applyFont="1" applyBorder="1"/>
    <xf numFmtId="9" fontId="4" fillId="0" borderId="0" xfId="1" applyFont="1"/>
    <xf numFmtId="10" fontId="0" fillId="0" borderId="0" xfId="1" applyNumberFormat="1" applyFont="1"/>
    <xf numFmtId="9" fontId="0" fillId="0" borderId="0" xfId="0" applyNumberFormat="1"/>
    <xf numFmtId="0" fontId="0" fillId="0" borderId="0" xfId="1" applyNumberFormat="1" applyFont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8" xfId="1" applyNumberFormat="1" applyFont="1" applyBorder="1"/>
    <xf numFmtId="0" fontId="5" fillId="0" borderId="9" xfId="1" applyNumberFormat="1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10" fontId="0" fillId="0" borderId="0" xfId="0" applyNumberFormat="1"/>
    <xf numFmtId="10" fontId="3" fillId="0" borderId="0" xfId="0" applyNumberFormat="1" applyFont="1"/>
    <xf numFmtId="0" fontId="4" fillId="0" borderId="0" xfId="0" applyFont="1"/>
    <xf numFmtId="0" fontId="4" fillId="4" borderId="0" xfId="0" applyFont="1" applyFill="1"/>
    <xf numFmtId="0" fontId="0" fillId="4" borderId="0" xfId="0" applyFill="1"/>
    <xf numFmtId="0" fontId="0" fillId="4" borderId="0" xfId="1" applyNumberFormat="1" applyFont="1" applyFill="1"/>
    <xf numFmtId="10" fontId="0" fillId="4" borderId="0" xfId="1" applyNumberFormat="1" applyFont="1" applyFill="1"/>
    <xf numFmtId="0" fontId="5" fillId="4" borderId="7" xfId="1" applyNumberFormat="1" applyFont="1" applyFill="1" applyBorder="1"/>
    <xf numFmtId="0" fontId="5" fillId="4" borderId="8" xfId="1" applyNumberFormat="1" applyFont="1" applyFill="1" applyBorder="1"/>
    <xf numFmtId="0" fontId="5" fillId="4" borderId="9" xfId="1" applyNumberFormat="1" applyFont="1" applyFill="1" applyBorder="1"/>
    <xf numFmtId="0" fontId="0" fillId="5" borderId="0" xfId="0" applyFill="1"/>
    <xf numFmtId="0" fontId="6" fillId="5" borderId="0" xfId="1" applyNumberFormat="1" applyFont="1" applyFill="1"/>
    <xf numFmtId="0" fontId="6" fillId="5" borderId="0" xfId="0" applyFont="1" applyFill="1"/>
    <xf numFmtId="10" fontId="0" fillId="5" borderId="0" xfId="1" applyNumberFormat="1" applyFont="1" applyFill="1"/>
    <xf numFmtId="0" fontId="3" fillId="3" borderId="10" xfId="0" applyFont="1" applyFill="1" applyBorder="1"/>
    <xf numFmtId="0" fontId="0" fillId="0" borderId="11" xfId="0" applyBorder="1"/>
    <xf numFmtId="0" fontId="3" fillId="3" borderId="2" xfId="0" applyFont="1" applyFill="1" applyBorder="1"/>
    <xf numFmtId="0" fontId="7" fillId="0" borderId="7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0" fillId="0" borderId="11" xfId="1" applyNumberFormat="1" applyFont="1" applyBorder="1"/>
    <xf numFmtId="0" fontId="0" fillId="3" borderId="15" xfId="0" applyFont="1" applyFill="1" applyBorder="1"/>
    <xf numFmtId="0" fontId="0" fillId="0" borderId="15" xfId="0" applyFont="1" applyBorder="1"/>
    <xf numFmtId="1" fontId="0" fillId="0" borderId="0" xfId="0" applyNumberFormat="1"/>
    <xf numFmtId="2" fontId="0" fillId="0" borderId="15" xfId="0" applyNumberFormat="1" applyFont="1" applyBorder="1"/>
    <xf numFmtId="2" fontId="0" fillId="3" borderId="15" xfId="0" applyNumberFormat="1" applyFont="1" applyFill="1" applyBorder="1"/>
    <xf numFmtId="2" fontId="0" fillId="0" borderId="0" xfId="0" applyNumberFormat="1"/>
    <xf numFmtId="2" fontId="0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10" fontId="0" fillId="0" borderId="0" xfId="0" applyNumberFormat="1" applyFill="1" applyBorder="1"/>
  </cellXfs>
  <cellStyles count="2">
    <cellStyle name="Normal" xfId="0" builtinId="0"/>
    <cellStyle name="Percent" xfId="1" builtinId="5"/>
  </cellStyles>
  <dxfs count="78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</dxf>
    <dxf>
      <border diagonalUp="0" diagonalDown="0" outline="0">
        <left/>
        <right/>
        <top/>
        <bottom/>
      </border>
    </dxf>
    <dxf>
      <numFmt numFmtId="0" formatCode="General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/>
        <right/>
        <top style="medium">
          <color indexed="64"/>
        </top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14" formatCode="0.00%"/>
    </dxf>
    <dxf>
      <border outline="0">
        <left style="thin">
          <color rgb="FF9BC2E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14" formatCode="0.00%"/>
    </dxf>
    <dxf>
      <border outline="0">
        <left style="thin">
          <color theme="4" tint="0.39997558519241921"/>
        </left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21167207040295E-2"/>
          <c:y val="5.6179085347434148E-2"/>
          <c:w val="0.95246458898520037"/>
          <c:h val="0.70052507544937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'BALANCE amino acids g scg AR'!$B$50</c:f>
              <c:strCache>
                <c:ptCount val="1"/>
                <c:pt idx="0">
                  <c:v>Raw SCG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'BALANCE amino acids g scg AR'!$K$52:$K$68</c:f>
                <c:numCache>
                  <c:formatCode>General</c:formatCode>
                  <c:ptCount val="17"/>
                  <c:pt idx="0">
                    <c:v>1.0607933898429032E-3</c:v>
                  </c:pt>
                  <c:pt idx="1">
                    <c:v>1.5323286368680413E-3</c:v>
                  </c:pt>
                  <c:pt idx="2">
                    <c:v>8.7340548493536048E-4</c:v>
                  </c:pt>
                  <c:pt idx="3">
                    <c:v>1.0829698136594424E-3</c:v>
                  </c:pt>
                  <c:pt idx="4">
                    <c:v>1.7974523584706383E-3</c:v>
                  </c:pt>
                  <c:pt idx="5">
                    <c:v>8.4051926986987294E-4</c:v>
                  </c:pt>
                  <c:pt idx="6">
                    <c:v>1.1777299178313853E-3</c:v>
                  </c:pt>
                  <c:pt idx="7">
                    <c:v>1.0155904188882505E-3</c:v>
                  </c:pt>
                  <c:pt idx="8">
                    <c:v>1.4936358690704982E-3</c:v>
                  </c:pt>
                  <c:pt idx="9">
                    <c:v>1.439195763298832E-3</c:v>
                  </c:pt>
                  <c:pt idx="10">
                    <c:v>2.4985514064760576E-3</c:v>
                  </c:pt>
                  <c:pt idx="11">
                    <c:v>2.1950634199309708E-3</c:v>
                  </c:pt>
                  <c:pt idx="12">
                    <c:v>8.5648542618801786E-4</c:v>
                  </c:pt>
                  <c:pt idx="13">
                    <c:v>1.2874923316067025E-3</c:v>
                  </c:pt>
                  <c:pt idx="14">
                    <c:v>8.3929448824761647E-4</c:v>
                  </c:pt>
                  <c:pt idx="15">
                    <c:v>2.0868799165221015E-3</c:v>
                  </c:pt>
                  <c:pt idx="16">
                    <c:v>3.2133154933268303E-3</c:v>
                  </c:pt>
                </c:numCache>
              </c:numRef>
            </c:plus>
            <c:minus>
              <c:numRef>
                <c:f>'BALANCE amino acids g scg AR'!$K$52:$K$68</c:f>
                <c:numCache>
                  <c:formatCode>General</c:formatCode>
                  <c:ptCount val="17"/>
                  <c:pt idx="0">
                    <c:v>1.0607933898429032E-3</c:v>
                  </c:pt>
                  <c:pt idx="1">
                    <c:v>1.5323286368680413E-3</c:v>
                  </c:pt>
                  <c:pt idx="2">
                    <c:v>8.7340548493536048E-4</c:v>
                  </c:pt>
                  <c:pt idx="3">
                    <c:v>1.0829698136594424E-3</c:v>
                  </c:pt>
                  <c:pt idx="4">
                    <c:v>1.7974523584706383E-3</c:v>
                  </c:pt>
                  <c:pt idx="5">
                    <c:v>8.4051926986987294E-4</c:v>
                  </c:pt>
                  <c:pt idx="6">
                    <c:v>1.1777299178313853E-3</c:v>
                  </c:pt>
                  <c:pt idx="7">
                    <c:v>1.0155904188882505E-3</c:v>
                  </c:pt>
                  <c:pt idx="8">
                    <c:v>1.4936358690704982E-3</c:v>
                  </c:pt>
                  <c:pt idx="9">
                    <c:v>1.439195763298832E-3</c:v>
                  </c:pt>
                  <c:pt idx="10">
                    <c:v>2.4985514064760576E-3</c:v>
                  </c:pt>
                  <c:pt idx="11">
                    <c:v>2.1950634199309708E-3</c:v>
                  </c:pt>
                  <c:pt idx="12">
                    <c:v>8.5648542618801786E-4</c:v>
                  </c:pt>
                  <c:pt idx="13">
                    <c:v>1.2874923316067025E-3</c:v>
                  </c:pt>
                  <c:pt idx="14">
                    <c:v>8.3929448824761647E-4</c:v>
                  </c:pt>
                  <c:pt idx="15">
                    <c:v>2.0868799165221015E-3</c:v>
                  </c:pt>
                  <c:pt idx="16">
                    <c:v>3.2133154933268303E-3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'BALANCE amino acids g scg AR'!$A$52:$A$68</c:f>
              <c:strCache>
                <c:ptCount val="17"/>
                <c:pt idx="0">
                  <c:v>Phenylalanine</c:v>
                </c:pt>
                <c:pt idx="1">
                  <c:v>Leucine</c:v>
                </c:pt>
                <c:pt idx="2">
                  <c:v>Isoleucine</c:v>
                </c:pt>
                <c:pt idx="3">
                  <c:v>Methionine</c:v>
                </c:pt>
                <c:pt idx="4">
                  <c:v>Valine</c:v>
                </c:pt>
                <c:pt idx="5">
                  <c:v>Proline</c:v>
                </c:pt>
                <c:pt idx="6">
                  <c:v>Tyrosine</c:v>
                </c:pt>
                <c:pt idx="7">
                  <c:v>Alanine</c:v>
                </c:pt>
                <c:pt idx="8">
                  <c:v>Threonine</c:v>
                </c:pt>
                <c:pt idx="9">
                  <c:v>Glycine</c:v>
                </c:pt>
                <c:pt idx="10">
                  <c:v>Glutamic Acid</c:v>
                </c:pt>
                <c:pt idx="11">
                  <c:v>Serine</c:v>
                </c:pt>
                <c:pt idx="12">
                  <c:v>Arginine</c:v>
                </c:pt>
                <c:pt idx="13">
                  <c:v>Lysine</c:v>
                </c:pt>
                <c:pt idx="14">
                  <c:v>Ornithine</c:v>
                </c:pt>
                <c:pt idx="15">
                  <c:v>Aspartic Acid</c:v>
                </c:pt>
                <c:pt idx="16">
                  <c:v>Histidine</c:v>
                </c:pt>
              </c:strCache>
            </c:strRef>
          </c:cat>
          <c:val>
            <c:numRef>
              <c:f>'BALANCE amino acids g scg AR'!$B$52:$B$68</c:f>
              <c:numCache>
                <c:formatCode>0%</c:formatCode>
                <c:ptCount val="17"/>
                <c:pt idx="0">
                  <c:v>4.8143036313174875E-2</c:v>
                </c:pt>
                <c:pt idx="1">
                  <c:v>6.2703173260180045E-2</c:v>
                </c:pt>
                <c:pt idx="2">
                  <c:v>4.4253547477123581E-2</c:v>
                </c:pt>
                <c:pt idx="3">
                  <c:v>9.5986167293873898E-3</c:v>
                </c:pt>
                <c:pt idx="4">
                  <c:v>7.8167233200128527E-2</c:v>
                </c:pt>
                <c:pt idx="5">
                  <c:v>5.1806363802879632E-2</c:v>
                </c:pt>
                <c:pt idx="6">
                  <c:v>2.0681867309824402E-2</c:v>
                </c:pt>
                <c:pt idx="7">
                  <c:v>5.485700175359115E-2</c:v>
                </c:pt>
                <c:pt idx="8">
                  <c:v>4.6108550060418377E-2</c:v>
                </c:pt>
                <c:pt idx="9">
                  <c:v>5.1557254685521768E-2</c:v>
                </c:pt>
                <c:pt idx="10">
                  <c:v>0.24926468695069426</c:v>
                </c:pt>
                <c:pt idx="11">
                  <c:v>3.1609363887424767E-2</c:v>
                </c:pt>
                <c:pt idx="12">
                  <c:v>7.7918406139001264E-3</c:v>
                </c:pt>
                <c:pt idx="13">
                  <c:v>0.11409528071180498</c:v>
                </c:pt>
                <c:pt idx="14">
                  <c:v>2.0918159602233608E-3</c:v>
                </c:pt>
                <c:pt idx="15">
                  <c:v>0.10808547210697328</c:v>
                </c:pt>
                <c:pt idx="16">
                  <c:v>1.9184895176749563E-2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3-4584-973A-C118BA59262E}"/>
            </c:ext>
          </c:extLst>
        </c:ser>
        <c:ser>
          <c:idx val="1"/>
          <c:order val="1"/>
          <c:tx>
            <c:strRef>
              <c:f>'BALANCE amino acids g scg AR'!$C$50</c:f>
              <c:strCache>
                <c:ptCount val="1"/>
                <c:pt idx="0">
                  <c:v>PP PE RAW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'BALANCE amino acids g scg AR'!$L$52:$L$68</c:f>
                <c:numCache>
                  <c:formatCode>General</c:formatCode>
                  <c:ptCount val="17"/>
                  <c:pt idx="0">
                    <c:v>2.2954009981679814E-3</c:v>
                  </c:pt>
                  <c:pt idx="1">
                    <c:v>2.4222691838119473E-3</c:v>
                  </c:pt>
                  <c:pt idx="2">
                    <c:v>2.1261677914275897E-3</c:v>
                  </c:pt>
                  <c:pt idx="3">
                    <c:v>2.0464444590304297E-3</c:v>
                  </c:pt>
                  <c:pt idx="4">
                    <c:v>3.109677947481895E-3</c:v>
                  </c:pt>
                  <c:pt idx="5">
                    <c:v>2.2026727097047361E-3</c:v>
                  </c:pt>
                  <c:pt idx="6">
                    <c:v>2.6332926071826702E-3</c:v>
                  </c:pt>
                  <c:pt idx="7">
                    <c:v>2.7034665342776966E-3</c:v>
                  </c:pt>
                  <c:pt idx="8">
                    <c:v>3.534936111640644E-3</c:v>
                  </c:pt>
                  <c:pt idx="9">
                    <c:v>2.990870963804551E-3</c:v>
                  </c:pt>
                  <c:pt idx="10">
                    <c:v>4.9743529714908648E-3</c:v>
                  </c:pt>
                  <c:pt idx="11">
                    <c:v>3.0877473038356208E-3</c:v>
                  </c:pt>
                  <c:pt idx="12">
                    <c:v>2.9081419198587199E-3</c:v>
                  </c:pt>
                  <c:pt idx="13">
                    <c:v>2.5905947245852441E-3</c:v>
                  </c:pt>
                  <c:pt idx="14">
                    <c:v>1.8742426872267867E-3</c:v>
                  </c:pt>
                  <c:pt idx="15">
                    <c:v>5.4669607214153362E-3</c:v>
                  </c:pt>
                  <c:pt idx="16">
                    <c:v>2.4926133932759516E-3</c:v>
                  </c:pt>
                </c:numCache>
              </c:numRef>
            </c:plus>
            <c:minus>
              <c:numRef>
                <c:f>'BALANCE amino acids g scg AR'!$L$52:$L$68</c:f>
                <c:numCache>
                  <c:formatCode>General</c:formatCode>
                  <c:ptCount val="17"/>
                  <c:pt idx="0">
                    <c:v>2.2954009981679814E-3</c:v>
                  </c:pt>
                  <c:pt idx="1">
                    <c:v>2.4222691838119473E-3</c:v>
                  </c:pt>
                  <c:pt idx="2">
                    <c:v>2.1261677914275897E-3</c:v>
                  </c:pt>
                  <c:pt idx="3">
                    <c:v>2.0464444590304297E-3</c:v>
                  </c:pt>
                  <c:pt idx="4">
                    <c:v>3.109677947481895E-3</c:v>
                  </c:pt>
                  <c:pt idx="5">
                    <c:v>2.2026727097047361E-3</c:v>
                  </c:pt>
                  <c:pt idx="6">
                    <c:v>2.6332926071826702E-3</c:v>
                  </c:pt>
                  <c:pt idx="7">
                    <c:v>2.7034665342776966E-3</c:v>
                  </c:pt>
                  <c:pt idx="8">
                    <c:v>3.534936111640644E-3</c:v>
                  </c:pt>
                  <c:pt idx="9">
                    <c:v>2.990870963804551E-3</c:v>
                  </c:pt>
                  <c:pt idx="10">
                    <c:v>4.9743529714908648E-3</c:v>
                  </c:pt>
                  <c:pt idx="11">
                    <c:v>3.0877473038356208E-3</c:v>
                  </c:pt>
                  <c:pt idx="12">
                    <c:v>2.9081419198587199E-3</c:v>
                  </c:pt>
                  <c:pt idx="13">
                    <c:v>2.5905947245852441E-3</c:v>
                  </c:pt>
                  <c:pt idx="14">
                    <c:v>1.8742426872267867E-3</c:v>
                  </c:pt>
                  <c:pt idx="15">
                    <c:v>5.4669607214153362E-3</c:v>
                  </c:pt>
                  <c:pt idx="16">
                    <c:v>2.4926133932759516E-3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'BALANCE amino acids g scg AR'!$A$52:$A$68</c:f>
              <c:strCache>
                <c:ptCount val="17"/>
                <c:pt idx="0">
                  <c:v>Phenylalanine</c:v>
                </c:pt>
                <c:pt idx="1">
                  <c:v>Leucine</c:v>
                </c:pt>
                <c:pt idx="2">
                  <c:v>Isoleucine</c:v>
                </c:pt>
                <c:pt idx="3">
                  <c:v>Methionine</c:v>
                </c:pt>
                <c:pt idx="4">
                  <c:v>Valine</c:v>
                </c:pt>
                <c:pt idx="5">
                  <c:v>Proline</c:v>
                </c:pt>
                <c:pt idx="6">
                  <c:v>Tyrosine</c:v>
                </c:pt>
                <c:pt idx="7">
                  <c:v>Alanine</c:v>
                </c:pt>
                <c:pt idx="8">
                  <c:v>Threonine</c:v>
                </c:pt>
                <c:pt idx="9">
                  <c:v>Glycine</c:v>
                </c:pt>
                <c:pt idx="10">
                  <c:v>Glutamic Acid</c:v>
                </c:pt>
                <c:pt idx="11">
                  <c:v>Serine</c:v>
                </c:pt>
                <c:pt idx="12">
                  <c:v>Arginine</c:v>
                </c:pt>
                <c:pt idx="13">
                  <c:v>Lysine</c:v>
                </c:pt>
                <c:pt idx="14">
                  <c:v>Ornithine</c:v>
                </c:pt>
                <c:pt idx="15">
                  <c:v>Aspartic Acid</c:v>
                </c:pt>
                <c:pt idx="16">
                  <c:v>Histidine</c:v>
                </c:pt>
              </c:strCache>
            </c:strRef>
          </c:cat>
          <c:val>
            <c:numRef>
              <c:f>'BALANCE amino acids g scg AR'!$C$52:$C$68</c:f>
              <c:numCache>
                <c:formatCode>0%</c:formatCode>
                <c:ptCount val="17"/>
                <c:pt idx="0">
                  <c:v>5.1370412336848158E-2</c:v>
                </c:pt>
                <c:pt idx="1">
                  <c:v>5.7342918935925448E-2</c:v>
                </c:pt>
                <c:pt idx="2">
                  <c:v>4.7197998011043747E-2</c:v>
                </c:pt>
                <c:pt idx="3">
                  <c:v>7.4908899337114429E-3</c:v>
                </c:pt>
                <c:pt idx="4">
                  <c:v>8.6048238158759158E-2</c:v>
                </c:pt>
                <c:pt idx="5">
                  <c:v>4.3108716776866472E-2</c:v>
                </c:pt>
                <c:pt idx="6">
                  <c:v>4.2556301306095126E-2</c:v>
                </c:pt>
                <c:pt idx="7">
                  <c:v>4.6300604681664012E-2</c:v>
                </c:pt>
                <c:pt idx="8">
                  <c:v>5.2347728703526037E-3</c:v>
                </c:pt>
                <c:pt idx="9">
                  <c:v>3.3037438379082594E-2</c:v>
                </c:pt>
                <c:pt idx="10">
                  <c:v>0.29333276485940113</c:v>
                </c:pt>
                <c:pt idx="11">
                  <c:v>4.6968981155684425E-3</c:v>
                </c:pt>
                <c:pt idx="12">
                  <c:v>2.9954613020825214E-3</c:v>
                </c:pt>
                <c:pt idx="13">
                  <c:v>0.12896087861935115</c:v>
                </c:pt>
                <c:pt idx="14">
                  <c:v>3.2345212694532793E-3</c:v>
                </c:pt>
                <c:pt idx="15">
                  <c:v>0.13316940623870227</c:v>
                </c:pt>
                <c:pt idx="16">
                  <c:v>1.3921778205092342E-2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3-4584-973A-C118BA59262E}"/>
            </c:ext>
          </c:extLst>
        </c:ser>
        <c:ser>
          <c:idx val="2"/>
          <c:order val="2"/>
          <c:tx>
            <c:strRef>
              <c:f>'BALANCE amino acids g scg AR'!$D$50</c:f>
              <c:strCache>
                <c:ptCount val="1"/>
                <c:pt idx="0">
                  <c:v>PP PE SWE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'BALANCE amino acids g scg AR'!$M$52:$M$68</c:f>
                <c:numCache>
                  <c:formatCode>General</c:formatCode>
                  <c:ptCount val="17"/>
                  <c:pt idx="0">
                    <c:v>5.2031914059854072E-4</c:v>
                  </c:pt>
                  <c:pt idx="1">
                    <c:v>5.3869954956983822E-4</c:v>
                  </c:pt>
                  <c:pt idx="2">
                    <c:v>4.5906903802751852E-4</c:v>
                  </c:pt>
                  <c:pt idx="3">
                    <c:v>9.2218024611224493E-4</c:v>
                  </c:pt>
                  <c:pt idx="4">
                    <c:v>8.3087678730161185E-4</c:v>
                  </c:pt>
                  <c:pt idx="5">
                    <c:v>7.2692439555354055E-4</c:v>
                  </c:pt>
                  <c:pt idx="6">
                    <c:v>1.1437612084306615E-3</c:v>
                  </c:pt>
                  <c:pt idx="7">
                    <c:v>7.3594431698126631E-4</c:v>
                  </c:pt>
                  <c:pt idx="8">
                    <c:v>1.7982937283760293E-3</c:v>
                  </c:pt>
                  <c:pt idx="9">
                    <c:v>1.5227997004860438E-3</c:v>
                  </c:pt>
                  <c:pt idx="10">
                    <c:v>1.7015746107389427E-3</c:v>
                  </c:pt>
                  <c:pt idx="11">
                    <c:v>1.4863267846027329E-3</c:v>
                  </c:pt>
                  <c:pt idx="12">
                    <c:v>6.1497719462477664E-4</c:v>
                  </c:pt>
                  <c:pt idx="13">
                    <c:v>7.0051357293440266E-4</c:v>
                  </c:pt>
                  <c:pt idx="14">
                    <c:v>5.0040752506613003E-4</c:v>
                  </c:pt>
                  <c:pt idx="15">
                    <c:v>1.7267440722676828E-3</c:v>
                  </c:pt>
                  <c:pt idx="16">
                    <c:v>8.645235099295044E-4</c:v>
                  </c:pt>
                </c:numCache>
              </c:numRef>
            </c:plus>
            <c:minus>
              <c:numRef>
                <c:f>'BALANCE amino acids g scg AR'!$M$52:$M$68</c:f>
                <c:numCache>
                  <c:formatCode>General</c:formatCode>
                  <c:ptCount val="17"/>
                  <c:pt idx="0">
                    <c:v>5.2031914059854072E-4</c:v>
                  </c:pt>
                  <c:pt idx="1">
                    <c:v>5.3869954956983822E-4</c:v>
                  </c:pt>
                  <c:pt idx="2">
                    <c:v>4.5906903802751852E-4</c:v>
                  </c:pt>
                  <c:pt idx="3">
                    <c:v>9.2218024611224493E-4</c:v>
                  </c:pt>
                  <c:pt idx="4">
                    <c:v>8.3087678730161185E-4</c:v>
                  </c:pt>
                  <c:pt idx="5">
                    <c:v>7.2692439555354055E-4</c:v>
                  </c:pt>
                  <c:pt idx="6">
                    <c:v>1.1437612084306615E-3</c:v>
                  </c:pt>
                  <c:pt idx="7">
                    <c:v>7.3594431698126631E-4</c:v>
                  </c:pt>
                  <c:pt idx="8">
                    <c:v>1.7982937283760293E-3</c:v>
                  </c:pt>
                  <c:pt idx="9">
                    <c:v>1.5227997004860438E-3</c:v>
                  </c:pt>
                  <c:pt idx="10">
                    <c:v>1.7015746107389427E-3</c:v>
                  </c:pt>
                  <c:pt idx="11">
                    <c:v>1.4863267846027329E-3</c:v>
                  </c:pt>
                  <c:pt idx="12">
                    <c:v>6.1497719462477664E-4</c:v>
                  </c:pt>
                  <c:pt idx="13">
                    <c:v>7.0051357293440266E-4</c:v>
                  </c:pt>
                  <c:pt idx="14">
                    <c:v>5.0040752506613003E-4</c:v>
                  </c:pt>
                  <c:pt idx="15">
                    <c:v>1.7267440722676828E-3</c:v>
                  </c:pt>
                  <c:pt idx="16">
                    <c:v>8.645235099295044E-4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'BALANCE amino acids g scg AR'!$A$52:$A$68</c:f>
              <c:strCache>
                <c:ptCount val="17"/>
                <c:pt idx="0">
                  <c:v>Phenylalanine</c:v>
                </c:pt>
                <c:pt idx="1">
                  <c:v>Leucine</c:v>
                </c:pt>
                <c:pt idx="2">
                  <c:v>Isoleucine</c:v>
                </c:pt>
                <c:pt idx="3">
                  <c:v>Methionine</c:v>
                </c:pt>
                <c:pt idx="4">
                  <c:v>Valine</c:v>
                </c:pt>
                <c:pt idx="5">
                  <c:v>Proline</c:v>
                </c:pt>
                <c:pt idx="6">
                  <c:v>Tyrosine</c:v>
                </c:pt>
                <c:pt idx="7">
                  <c:v>Alanine</c:v>
                </c:pt>
                <c:pt idx="8">
                  <c:v>Threonine</c:v>
                </c:pt>
                <c:pt idx="9">
                  <c:v>Glycine</c:v>
                </c:pt>
                <c:pt idx="10">
                  <c:v>Glutamic Acid</c:v>
                </c:pt>
                <c:pt idx="11">
                  <c:v>Serine</c:v>
                </c:pt>
                <c:pt idx="12">
                  <c:v>Arginine</c:v>
                </c:pt>
                <c:pt idx="13">
                  <c:v>Lysine</c:v>
                </c:pt>
                <c:pt idx="14">
                  <c:v>Ornithine</c:v>
                </c:pt>
                <c:pt idx="15">
                  <c:v>Aspartic Acid</c:v>
                </c:pt>
                <c:pt idx="16">
                  <c:v>Histidine</c:v>
                </c:pt>
              </c:strCache>
            </c:strRef>
          </c:cat>
          <c:val>
            <c:numRef>
              <c:f>'BALANCE amino acids g scg AR'!$D$52:$D$68</c:f>
              <c:numCache>
                <c:formatCode>0%</c:formatCode>
                <c:ptCount val="17"/>
                <c:pt idx="0">
                  <c:v>7.5057863730823224E-2</c:v>
                </c:pt>
                <c:pt idx="1">
                  <c:v>8.0857084416963557E-2</c:v>
                </c:pt>
                <c:pt idx="2">
                  <c:v>6.8406493989383102E-2</c:v>
                </c:pt>
                <c:pt idx="3">
                  <c:v>7.921378414253076E-3</c:v>
                </c:pt>
                <c:pt idx="4">
                  <c:v>0.11061416177022416</c:v>
                </c:pt>
                <c:pt idx="5">
                  <c:v>5.6968311089996261E-2</c:v>
                </c:pt>
                <c:pt idx="6">
                  <c:v>5.9995884135186285E-2</c:v>
                </c:pt>
                <c:pt idx="7">
                  <c:v>5.6673869368724365E-2</c:v>
                </c:pt>
                <c:pt idx="8">
                  <c:v>4.9027775591271375E-3</c:v>
                </c:pt>
                <c:pt idx="9">
                  <c:v>3.636375484993052E-2</c:v>
                </c:pt>
                <c:pt idx="10">
                  <c:v>0.2113996771820971</c:v>
                </c:pt>
                <c:pt idx="11">
                  <c:v>4.9171108541318873E-3</c:v>
                </c:pt>
                <c:pt idx="12">
                  <c:v>1.0466335596399452E-3</c:v>
                </c:pt>
                <c:pt idx="13">
                  <c:v>0.18454840466451239</c:v>
                </c:pt>
                <c:pt idx="14">
                  <c:v>5.7862558221294762E-3</c:v>
                </c:pt>
                <c:pt idx="15">
                  <c:v>1.8023193944259847E-2</c:v>
                </c:pt>
                <c:pt idx="16">
                  <c:v>1.6517144648617529E-2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3-4584-973A-C118BA59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818376"/>
        <c:axId val="513820344"/>
      </c:barChart>
      <c:catAx>
        <c:axId val="51381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</a:rPr>
                  <a:t>Amino Acid</a:t>
                </a:r>
              </a:p>
            </c:rich>
          </c:tx>
          <c:layout>
            <c:manualLayout>
              <c:xMode val="edge"/>
              <c:yMode val="edge"/>
              <c:x val="0.6039114228368514"/>
              <c:y val="0.89658441578607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20344"/>
        <c:crosses val="autoZero"/>
        <c:auto val="1"/>
        <c:lblAlgn val="ctr"/>
        <c:lblOffset val="100"/>
        <c:noMultiLvlLbl val="0"/>
      </c:catAx>
      <c:valAx>
        <c:axId val="513820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</a:rPr>
                  <a:t>% Protein</a:t>
                </a:r>
              </a:p>
            </c:rich>
          </c:tx>
          <c:layout>
            <c:manualLayout>
              <c:xMode val="edge"/>
              <c:yMode val="edge"/>
              <c:x val="3.9376254438783388E-3"/>
              <c:y val="0.37267687903537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1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628137062127501"/>
          <c:y val="8.8203567143020946E-3"/>
          <c:w val="0.46134756234129259"/>
          <c:h val="0.133706077670554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21167207040295E-2"/>
          <c:y val="5.6179085347434148E-2"/>
          <c:w val="0.95246458898520037"/>
          <c:h val="0.70052507544937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'BALANCE amino acids g scg A DB'!$B$50</c:f>
              <c:strCache>
                <c:ptCount val="1"/>
                <c:pt idx="0">
                  <c:v>Raw SCG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'BALANCE amino acids g scg A DB'!$K$52:$K$68</c:f>
                <c:numCache>
                  <c:formatCode>General</c:formatCode>
                  <c:ptCount val="17"/>
                  <c:pt idx="0">
                    <c:v>8.2869748734144225E-4</c:v>
                  </c:pt>
                  <c:pt idx="1">
                    <c:v>2.7491849145995784E-3</c:v>
                  </c:pt>
                  <c:pt idx="2">
                    <c:v>5.6946821746853846E-4</c:v>
                  </c:pt>
                  <c:pt idx="3">
                    <c:v>8.5690170199923725E-4</c:v>
                  </c:pt>
                  <c:pt idx="4">
                    <c:v>1.6710152275079013E-3</c:v>
                  </c:pt>
                  <c:pt idx="5">
                    <c:v>5.1761911925102472E-4</c:v>
                  </c:pt>
                  <c:pt idx="6">
                    <c:v>9.7391204374252594E-4</c:v>
                  </c:pt>
                  <c:pt idx="7">
                    <c:v>7.6998753790514965E-4</c:v>
                  </c:pt>
                  <c:pt idx="8">
                    <c:v>1.3388073121123911E-3</c:v>
                  </c:pt>
                  <c:pt idx="9">
                    <c:v>1.2777876798157545E-3</c:v>
                  </c:pt>
                  <c:pt idx="10">
                    <c:v>2.4091940644944128E-3</c:v>
                  </c:pt>
                  <c:pt idx="11">
                    <c:v>2.0927876927941528E-3</c:v>
                  </c:pt>
                  <c:pt idx="12">
                    <c:v>5.431612972811048E-4</c:v>
                  </c:pt>
                  <c:pt idx="13">
                    <c:v>1.104125633040772E-3</c:v>
                  </c:pt>
                  <c:pt idx="14">
                    <c:v>5.1562791584091998E-4</c:v>
                  </c:pt>
                  <c:pt idx="15">
                    <c:v>1.979021145812979E-3</c:v>
                  </c:pt>
                  <c:pt idx="16">
                    <c:v>3.1443367137197432E-3</c:v>
                  </c:pt>
                </c:numCache>
              </c:numRef>
            </c:plus>
            <c:minus>
              <c:numRef>
                <c:f>'BALANCE amino acids g scg A DB'!$K$52:$K$68</c:f>
                <c:numCache>
                  <c:formatCode>General</c:formatCode>
                  <c:ptCount val="17"/>
                  <c:pt idx="0">
                    <c:v>8.2869748734144225E-4</c:v>
                  </c:pt>
                  <c:pt idx="1">
                    <c:v>2.7491849145995784E-3</c:v>
                  </c:pt>
                  <c:pt idx="2">
                    <c:v>5.6946821746853846E-4</c:v>
                  </c:pt>
                  <c:pt idx="3">
                    <c:v>8.5690170199923725E-4</c:v>
                  </c:pt>
                  <c:pt idx="4">
                    <c:v>1.6710152275079013E-3</c:v>
                  </c:pt>
                  <c:pt idx="5">
                    <c:v>5.1761911925102472E-4</c:v>
                  </c:pt>
                  <c:pt idx="6">
                    <c:v>9.7391204374252594E-4</c:v>
                  </c:pt>
                  <c:pt idx="7">
                    <c:v>7.6998753790514965E-4</c:v>
                  </c:pt>
                  <c:pt idx="8">
                    <c:v>1.3388073121123911E-3</c:v>
                  </c:pt>
                  <c:pt idx="9">
                    <c:v>1.2777876798157545E-3</c:v>
                  </c:pt>
                  <c:pt idx="10">
                    <c:v>2.4091940644944128E-3</c:v>
                  </c:pt>
                  <c:pt idx="11">
                    <c:v>2.0927876927941528E-3</c:v>
                  </c:pt>
                  <c:pt idx="12">
                    <c:v>5.431612972811048E-4</c:v>
                  </c:pt>
                  <c:pt idx="13">
                    <c:v>1.104125633040772E-3</c:v>
                  </c:pt>
                  <c:pt idx="14">
                    <c:v>5.1562791584091998E-4</c:v>
                  </c:pt>
                  <c:pt idx="15">
                    <c:v>1.979021145812979E-3</c:v>
                  </c:pt>
                  <c:pt idx="16">
                    <c:v>3.1443367137197432E-3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'BALANCE amino acids g scg A DB'!$A$52:$A$68</c:f>
              <c:strCache>
                <c:ptCount val="17"/>
                <c:pt idx="0">
                  <c:v>Phenylalanine</c:v>
                </c:pt>
                <c:pt idx="1">
                  <c:v>Leucine</c:v>
                </c:pt>
                <c:pt idx="2">
                  <c:v>Isoleucine</c:v>
                </c:pt>
                <c:pt idx="3">
                  <c:v>Methionine</c:v>
                </c:pt>
                <c:pt idx="4">
                  <c:v>Valine</c:v>
                </c:pt>
                <c:pt idx="5">
                  <c:v>Proline</c:v>
                </c:pt>
                <c:pt idx="6">
                  <c:v>Tyrosine</c:v>
                </c:pt>
                <c:pt idx="7">
                  <c:v>Alanine</c:v>
                </c:pt>
                <c:pt idx="8">
                  <c:v>Threonine</c:v>
                </c:pt>
                <c:pt idx="9">
                  <c:v>Glycine</c:v>
                </c:pt>
                <c:pt idx="10">
                  <c:v>Glutamic Acid</c:v>
                </c:pt>
                <c:pt idx="11">
                  <c:v>Serine</c:v>
                </c:pt>
                <c:pt idx="12">
                  <c:v>Arginine</c:v>
                </c:pt>
                <c:pt idx="13">
                  <c:v>Lysine</c:v>
                </c:pt>
                <c:pt idx="14">
                  <c:v>Ornithine</c:v>
                </c:pt>
                <c:pt idx="15">
                  <c:v>Aspartic Acid</c:v>
                </c:pt>
                <c:pt idx="16">
                  <c:v>Histidine</c:v>
                </c:pt>
              </c:strCache>
            </c:strRef>
          </c:cat>
          <c:val>
            <c:numRef>
              <c:f>'BALANCE amino acids g scg A DB'!$B$52:$B$68</c:f>
              <c:numCache>
                <c:formatCode>0%</c:formatCode>
                <c:ptCount val="17"/>
                <c:pt idx="0">
                  <c:v>4.8143036313174875E-2</c:v>
                </c:pt>
                <c:pt idx="1">
                  <c:v>6.2703173260180045E-2</c:v>
                </c:pt>
                <c:pt idx="2">
                  <c:v>4.4253547477123581E-2</c:v>
                </c:pt>
                <c:pt idx="3">
                  <c:v>9.5986167293873898E-3</c:v>
                </c:pt>
                <c:pt idx="4">
                  <c:v>7.8167233200128527E-2</c:v>
                </c:pt>
                <c:pt idx="5">
                  <c:v>5.1806363802879632E-2</c:v>
                </c:pt>
                <c:pt idx="6">
                  <c:v>2.0681867309824402E-2</c:v>
                </c:pt>
                <c:pt idx="7">
                  <c:v>5.485700175359115E-2</c:v>
                </c:pt>
                <c:pt idx="8">
                  <c:v>4.6108550060418377E-2</c:v>
                </c:pt>
                <c:pt idx="9">
                  <c:v>5.1557254685521768E-2</c:v>
                </c:pt>
                <c:pt idx="10">
                  <c:v>0.24926468695069426</c:v>
                </c:pt>
                <c:pt idx="11">
                  <c:v>3.1609363887424767E-2</c:v>
                </c:pt>
                <c:pt idx="12">
                  <c:v>7.7918406139001264E-3</c:v>
                </c:pt>
                <c:pt idx="13">
                  <c:v>0.11409528071180498</c:v>
                </c:pt>
                <c:pt idx="14">
                  <c:v>2.0918159602233608E-3</c:v>
                </c:pt>
                <c:pt idx="15">
                  <c:v>0.10808547210697328</c:v>
                </c:pt>
                <c:pt idx="16">
                  <c:v>1.9184895176749563E-2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7-43B3-9381-8FF05D94B03C}"/>
            </c:ext>
          </c:extLst>
        </c:ser>
        <c:ser>
          <c:idx val="1"/>
          <c:order val="1"/>
          <c:tx>
            <c:strRef>
              <c:f>'BALANCE amino acids g scg A DB'!$C$50</c:f>
              <c:strCache>
                <c:ptCount val="1"/>
                <c:pt idx="0">
                  <c:v>PP PE RAW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'BALANCE amino acids g scg A DB'!$L$52:$L$68</c:f>
                <c:numCache>
                  <c:formatCode>General</c:formatCode>
                  <c:ptCount val="17"/>
                  <c:pt idx="0">
                    <c:v>1.7377466891461799E-3</c:v>
                  </c:pt>
                  <c:pt idx="1">
                    <c:v>3.676830200762299E-3</c:v>
                  </c:pt>
                  <c:pt idx="2">
                    <c:v>1.5071454112168534E-3</c:v>
                  </c:pt>
                  <c:pt idx="3">
                    <c:v>1.3924197417245598E-3</c:v>
                  </c:pt>
                  <c:pt idx="4">
                    <c:v>2.7241502804183095E-3</c:v>
                  </c:pt>
                  <c:pt idx="5">
                    <c:v>1.6132776820268568E-3</c:v>
                  </c:pt>
                  <c:pt idx="6">
                    <c:v>2.1645155966845903E-3</c:v>
                  </c:pt>
                  <c:pt idx="7">
                    <c:v>2.2493619351290272E-3</c:v>
                  </c:pt>
                  <c:pt idx="8">
                    <c:v>3.2010421938220407E-3</c:v>
                  </c:pt>
                  <c:pt idx="9">
                    <c:v>2.5877030230258475E-3</c:v>
                  </c:pt>
                  <c:pt idx="10">
                    <c:v>4.742898406905627E-3</c:v>
                  </c:pt>
                  <c:pt idx="11">
                    <c:v>2.6990889621485411E-3</c:v>
                  </c:pt>
                  <c:pt idx="12">
                    <c:v>2.4916234144203063E-3</c:v>
                  </c:pt>
                  <c:pt idx="13">
                    <c:v>2.1123633305605459E-3</c:v>
                  </c:pt>
                  <c:pt idx="14">
                    <c:v>1.1241367638641793E-3</c:v>
                  </c:pt>
                  <c:pt idx="15">
                    <c:v>5.2572385662765994E-3</c:v>
                  </c:pt>
                  <c:pt idx="16">
                    <c:v>1.9909845156571649E-3</c:v>
                  </c:pt>
                </c:numCache>
              </c:numRef>
            </c:plus>
            <c:minus>
              <c:numRef>
                <c:f>'BALANCE amino acids g scg A DB'!$L$52:$L$68</c:f>
                <c:numCache>
                  <c:formatCode>General</c:formatCode>
                  <c:ptCount val="17"/>
                  <c:pt idx="0">
                    <c:v>1.7377466891461799E-3</c:v>
                  </c:pt>
                  <c:pt idx="1">
                    <c:v>3.676830200762299E-3</c:v>
                  </c:pt>
                  <c:pt idx="2">
                    <c:v>1.5071454112168534E-3</c:v>
                  </c:pt>
                  <c:pt idx="3">
                    <c:v>1.3924197417245598E-3</c:v>
                  </c:pt>
                  <c:pt idx="4">
                    <c:v>2.7241502804183095E-3</c:v>
                  </c:pt>
                  <c:pt idx="5">
                    <c:v>1.6132776820268568E-3</c:v>
                  </c:pt>
                  <c:pt idx="6">
                    <c:v>2.1645155966845903E-3</c:v>
                  </c:pt>
                  <c:pt idx="7">
                    <c:v>2.2493619351290272E-3</c:v>
                  </c:pt>
                  <c:pt idx="8">
                    <c:v>3.2010421938220407E-3</c:v>
                  </c:pt>
                  <c:pt idx="9">
                    <c:v>2.5877030230258475E-3</c:v>
                  </c:pt>
                  <c:pt idx="10">
                    <c:v>4.742898406905627E-3</c:v>
                  </c:pt>
                  <c:pt idx="11">
                    <c:v>2.6990889621485411E-3</c:v>
                  </c:pt>
                  <c:pt idx="12">
                    <c:v>2.4916234144203063E-3</c:v>
                  </c:pt>
                  <c:pt idx="13">
                    <c:v>2.1123633305605459E-3</c:v>
                  </c:pt>
                  <c:pt idx="14">
                    <c:v>1.1241367638641793E-3</c:v>
                  </c:pt>
                  <c:pt idx="15">
                    <c:v>5.2572385662765994E-3</c:v>
                  </c:pt>
                  <c:pt idx="16">
                    <c:v>1.9909845156571649E-3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'BALANCE amino acids g scg A DB'!$A$52:$A$68</c:f>
              <c:strCache>
                <c:ptCount val="17"/>
                <c:pt idx="0">
                  <c:v>Phenylalanine</c:v>
                </c:pt>
                <c:pt idx="1">
                  <c:v>Leucine</c:v>
                </c:pt>
                <c:pt idx="2">
                  <c:v>Isoleucine</c:v>
                </c:pt>
                <c:pt idx="3">
                  <c:v>Methionine</c:v>
                </c:pt>
                <c:pt idx="4">
                  <c:v>Valine</c:v>
                </c:pt>
                <c:pt idx="5">
                  <c:v>Proline</c:v>
                </c:pt>
                <c:pt idx="6">
                  <c:v>Tyrosine</c:v>
                </c:pt>
                <c:pt idx="7">
                  <c:v>Alanine</c:v>
                </c:pt>
                <c:pt idx="8">
                  <c:v>Threonine</c:v>
                </c:pt>
                <c:pt idx="9">
                  <c:v>Glycine</c:v>
                </c:pt>
                <c:pt idx="10">
                  <c:v>Glutamic Acid</c:v>
                </c:pt>
                <c:pt idx="11">
                  <c:v>Serine</c:v>
                </c:pt>
                <c:pt idx="12">
                  <c:v>Arginine</c:v>
                </c:pt>
                <c:pt idx="13">
                  <c:v>Lysine</c:v>
                </c:pt>
                <c:pt idx="14">
                  <c:v>Ornithine</c:v>
                </c:pt>
                <c:pt idx="15">
                  <c:v>Aspartic Acid</c:v>
                </c:pt>
                <c:pt idx="16">
                  <c:v>Histidine</c:v>
                </c:pt>
              </c:strCache>
            </c:strRef>
          </c:cat>
          <c:val>
            <c:numRef>
              <c:f>'BALANCE amino acids g scg A DB'!$C$52:$C$68</c:f>
              <c:numCache>
                <c:formatCode>0%</c:formatCode>
                <c:ptCount val="17"/>
                <c:pt idx="0">
                  <c:v>5.1370412336848158E-2</c:v>
                </c:pt>
                <c:pt idx="1">
                  <c:v>5.7342918935925448E-2</c:v>
                </c:pt>
                <c:pt idx="2">
                  <c:v>4.7197998011043747E-2</c:v>
                </c:pt>
                <c:pt idx="3">
                  <c:v>7.4908899337114429E-3</c:v>
                </c:pt>
                <c:pt idx="4">
                  <c:v>8.6048238158759158E-2</c:v>
                </c:pt>
                <c:pt idx="5">
                  <c:v>4.3108716776866472E-2</c:v>
                </c:pt>
                <c:pt idx="6">
                  <c:v>4.2556301306095126E-2</c:v>
                </c:pt>
                <c:pt idx="7">
                  <c:v>4.6300604681664012E-2</c:v>
                </c:pt>
                <c:pt idx="8">
                  <c:v>5.2347728703526037E-3</c:v>
                </c:pt>
                <c:pt idx="9">
                  <c:v>3.3037438379082594E-2</c:v>
                </c:pt>
                <c:pt idx="10">
                  <c:v>0.29333276485940113</c:v>
                </c:pt>
                <c:pt idx="11">
                  <c:v>4.6968981155684425E-3</c:v>
                </c:pt>
                <c:pt idx="12">
                  <c:v>2.9954613020825214E-3</c:v>
                </c:pt>
                <c:pt idx="13">
                  <c:v>0.12896087861935115</c:v>
                </c:pt>
                <c:pt idx="14">
                  <c:v>3.2345212694532793E-3</c:v>
                </c:pt>
                <c:pt idx="15">
                  <c:v>0.13316940623870227</c:v>
                </c:pt>
                <c:pt idx="16">
                  <c:v>1.3921778205092342E-2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7-43B3-9381-8FF05D94B03C}"/>
            </c:ext>
          </c:extLst>
        </c:ser>
        <c:ser>
          <c:idx val="2"/>
          <c:order val="2"/>
          <c:tx>
            <c:strRef>
              <c:f>'BALANCE amino acids g scg A DB'!$D$50</c:f>
              <c:strCache>
                <c:ptCount val="1"/>
                <c:pt idx="0">
                  <c:v>PP PE SWE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'BALANCE amino acids g scg A DB'!$M$52:$M$68</c:f>
                <c:numCache>
                  <c:formatCode>General</c:formatCode>
                  <c:ptCount val="17"/>
                  <c:pt idx="0">
                    <c:v>3.5015691598833077E-4</c:v>
                  </c:pt>
                  <c:pt idx="1">
                    <c:v>7.4372134342806661E-4</c:v>
                  </c:pt>
                  <c:pt idx="2">
                    <c:v>2.5024435941048938E-4</c:v>
                  </c:pt>
                  <c:pt idx="3">
                    <c:v>8.3802998995316134E-4</c:v>
                  </c:pt>
                  <c:pt idx="4">
                    <c:v>7.3636546185837826E-4</c:v>
                  </c:pt>
                  <c:pt idx="5">
                    <c:v>6.1668219902323682E-4</c:v>
                  </c:pt>
                  <c:pt idx="6">
                    <c:v>1.0770643247513224E-3</c:v>
                  </c:pt>
                  <c:pt idx="7">
                    <c:v>6.2728932354877323E-4</c:v>
                  </c:pt>
                  <c:pt idx="8">
                    <c:v>1.756626935708836E-3</c:v>
                  </c:pt>
                  <c:pt idx="9">
                    <c:v>1.4733624080794378E-3</c:v>
                  </c:pt>
                  <c:pt idx="10">
                    <c:v>1.6574782091034073E-3</c:v>
                  </c:pt>
                  <c:pt idx="11">
                    <c:v>1.4356340649234933E-3</c:v>
                  </c:pt>
                  <c:pt idx="12">
                    <c:v>4.7966113835687732E-4</c:v>
                  </c:pt>
                  <c:pt idx="13">
                    <c:v>5.853179679512476E-4</c:v>
                  </c:pt>
                  <c:pt idx="14">
                    <c:v>3.1982112013446599E-4</c:v>
                  </c:pt>
                  <c:pt idx="15">
                    <c:v>1.6833071463202534E-3</c:v>
                  </c:pt>
                  <c:pt idx="16">
                    <c:v>7.7413096886901826E-4</c:v>
                  </c:pt>
                </c:numCache>
              </c:numRef>
            </c:plus>
            <c:minus>
              <c:numRef>
                <c:f>'BALANCE amino acids g scg A DB'!$M$52:$M$68</c:f>
                <c:numCache>
                  <c:formatCode>General</c:formatCode>
                  <c:ptCount val="17"/>
                  <c:pt idx="0">
                    <c:v>3.5015691598833077E-4</c:v>
                  </c:pt>
                  <c:pt idx="1">
                    <c:v>7.4372134342806661E-4</c:v>
                  </c:pt>
                  <c:pt idx="2">
                    <c:v>2.5024435941048938E-4</c:v>
                  </c:pt>
                  <c:pt idx="3">
                    <c:v>8.3802998995316134E-4</c:v>
                  </c:pt>
                  <c:pt idx="4">
                    <c:v>7.3636546185837826E-4</c:v>
                  </c:pt>
                  <c:pt idx="5">
                    <c:v>6.1668219902323682E-4</c:v>
                  </c:pt>
                  <c:pt idx="6">
                    <c:v>1.0770643247513224E-3</c:v>
                  </c:pt>
                  <c:pt idx="7">
                    <c:v>6.2728932354877323E-4</c:v>
                  </c:pt>
                  <c:pt idx="8">
                    <c:v>1.756626935708836E-3</c:v>
                  </c:pt>
                  <c:pt idx="9">
                    <c:v>1.4733624080794378E-3</c:v>
                  </c:pt>
                  <c:pt idx="10">
                    <c:v>1.6574782091034073E-3</c:v>
                  </c:pt>
                  <c:pt idx="11">
                    <c:v>1.4356340649234933E-3</c:v>
                  </c:pt>
                  <c:pt idx="12">
                    <c:v>4.7966113835687732E-4</c:v>
                  </c:pt>
                  <c:pt idx="13">
                    <c:v>5.853179679512476E-4</c:v>
                  </c:pt>
                  <c:pt idx="14">
                    <c:v>3.1982112013446599E-4</c:v>
                  </c:pt>
                  <c:pt idx="15">
                    <c:v>1.6833071463202534E-3</c:v>
                  </c:pt>
                  <c:pt idx="16">
                    <c:v>7.7413096886901826E-4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'BALANCE amino acids g scg A DB'!$A$52:$A$68</c:f>
              <c:strCache>
                <c:ptCount val="17"/>
                <c:pt idx="0">
                  <c:v>Phenylalanine</c:v>
                </c:pt>
                <c:pt idx="1">
                  <c:v>Leucine</c:v>
                </c:pt>
                <c:pt idx="2">
                  <c:v>Isoleucine</c:v>
                </c:pt>
                <c:pt idx="3">
                  <c:v>Methionine</c:v>
                </c:pt>
                <c:pt idx="4">
                  <c:v>Valine</c:v>
                </c:pt>
                <c:pt idx="5">
                  <c:v>Proline</c:v>
                </c:pt>
                <c:pt idx="6">
                  <c:v>Tyrosine</c:v>
                </c:pt>
                <c:pt idx="7">
                  <c:v>Alanine</c:v>
                </c:pt>
                <c:pt idx="8">
                  <c:v>Threonine</c:v>
                </c:pt>
                <c:pt idx="9">
                  <c:v>Glycine</c:v>
                </c:pt>
                <c:pt idx="10">
                  <c:v>Glutamic Acid</c:v>
                </c:pt>
                <c:pt idx="11">
                  <c:v>Serine</c:v>
                </c:pt>
                <c:pt idx="12">
                  <c:v>Arginine</c:v>
                </c:pt>
                <c:pt idx="13">
                  <c:v>Lysine</c:v>
                </c:pt>
                <c:pt idx="14">
                  <c:v>Ornithine</c:v>
                </c:pt>
                <c:pt idx="15">
                  <c:v>Aspartic Acid</c:v>
                </c:pt>
                <c:pt idx="16">
                  <c:v>Histidine</c:v>
                </c:pt>
              </c:strCache>
            </c:strRef>
          </c:cat>
          <c:val>
            <c:numRef>
              <c:f>'BALANCE amino acids g scg A DB'!$D$52:$D$68</c:f>
              <c:numCache>
                <c:formatCode>0%</c:formatCode>
                <c:ptCount val="17"/>
                <c:pt idx="0">
                  <c:v>7.5057863730823224E-2</c:v>
                </c:pt>
                <c:pt idx="1">
                  <c:v>8.0857084416963557E-2</c:v>
                </c:pt>
                <c:pt idx="2">
                  <c:v>6.8406493989383102E-2</c:v>
                </c:pt>
                <c:pt idx="3">
                  <c:v>7.921378414253076E-3</c:v>
                </c:pt>
                <c:pt idx="4">
                  <c:v>0.11061416177022416</c:v>
                </c:pt>
                <c:pt idx="5">
                  <c:v>5.6968311089996261E-2</c:v>
                </c:pt>
                <c:pt idx="6">
                  <c:v>5.9995884135186285E-2</c:v>
                </c:pt>
                <c:pt idx="7">
                  <c:v>5.6673869368724365E-2</c:v>
                </c:pt>
                <c:pt idx="8">
                  <c:v>4.9027775591271375E-3</c:v>
                </c:pt>
                <c:pt idx="9">
                  <c:v>3.636375484993052E-2</c:v>
                </c:pt>
                <c:pt idx="10">
                  <c:v>0.2113996771820971</c:v>
                </c:pt>
                <c:pt idx="11">
                  <c:v>4.9171108541318873E-3</c:v>
                </c:pt>
                <c:pt idx="12">
                  <c:v>1.0466335596399452E-3</c:v>
                </c:pt>
                <c:pt idx="13">
                  <c:v>0.18454840466451239</c:v>
                </c:pt>
                <c:pt idx="14">
                  <c:v>5.7862558221294762E-3</c:v>
                </c:pt>
                <c:pt idx="15">
                  <c:v>1.8023193944259847E-2</c:v>
                </c:pt>
                <c:pt idx="16">
                  <c:v>1.6517144648617529E-2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7-43B3-9381-8FF05D94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818376"/>
        <c:axId val="513820344"/>
      </c:barChart>
      <c:catAx>
        <c:axId val="51381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</a:rPr>
                  <a:t>Amino Acid</a:t>
                </a:r>
              </a:p>
            </c:rich>
          </c:tx>
          <c:layout>
            <c:manualLayout>
              <c:xMode val="edge"/>
              <c:yMode val="edge"/>
              <c:x val="0.6039114228368514"/>
              <c:y val="0.89658441578607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20344"/>
        <c:crosses val="autoZero"/>
        <c:auto val="1"/>
        <c:lblAlgn val="ctr"/>
        <c:lblOffset val="100"/>
        <c:noMultiLvlLbl val="0"/>
      </c:catAx>
      <c:valAx>
        <c:axId val="513820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</a:rPr>
                  <a:t>% Protein</a:t>
                </a:r>
              </a:p>
            </c:rich>
          </c:tx>
          <c:layout>
            <c:manualLayout>
              <c:xMode val="edge"/>
              <c:yMode val="edge"/>
              <c:x val="3.9376254438783388E-3"/>
              <c:y val="0.37267687903537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1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628137062127501"/>
          <c:y val="8.8203567143020946E-3"/>
          <c:w val="0.46134756234129259"/>
          <c:h val="0.133706077670554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432336</xdr:colOff>
      <xdr:row>68</xdr:row>
      <xdr:rowOff>14350</xdr:rowOff>
    </xdr:from>
    <xdr:to>
      <xdr:col>30</xdr:col>
      <xdr:colOff>92900</xdr:colOff>
      <xdr:row>95</xdr:row>
      <xdr:rowOff>33400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16170</xdr:colOff>
      <xdr:row>72</xdr:row>
      <xdr:rowOff>3996</xdr:rowOff>
    </xdr:from>
    <xdr:to>
      <xdr:col>25</xdr:col>
      <xdr:colOff>78612</xdr:colOff>
      <xdr:row>105</xdr:row>
      <xdr:rowOff>90143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m%20Eng/ResearchProjects/CChuck/EG-CE1152%20-%20Jackie%20Massaya/Experiments/3RD%20YEAR/Amino%20acids/6M%20HCl%20hydrolysis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hem%20Eng/ResearchProjects/CChuck/EG-CE1152%20-%20Jackie%20Massaya/Experiments/3RD%20YEAR/HTC%20223/TGA%20223%20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hem%20Eng/ResearchProjects/CChuck/EG-CE1152%20-%20Jackie%20Massaya/Experiments/HTC/3RD%20YEAR/Amino%20acids/Hydrolysis%20balance_ultimate_proxim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ultimate"/>
      <sheetName val="Proximate"/>
    </sheetNames>
    <sheetDataSet>
      <sheetData sheetId="0">
        <row r="4">
          <cell r="B4">
            <v>0.501</v>
          </cell>
          <cell r="C4">
            <v>5.1459999999999999</v>
          </cell>
        </row>
        <row r="5">
          <cell r="B5">
            <v>0.504</v>
          </cell>
          <cell r="C5">
            <v>5.0579999999999998</v>
          </cell>
        </row>
        <row r="6">
          <cell r="B6">
            <v>0.505</v>
          </cell>
          <cell r="C6">
            <v>5.2839999999999998</v>
          </cell>
          <cell r="O6">
            <v>0.51345598272645909</v>
          </cell>
          <cell r="P6">
            <v>2.7199392890087673E-2</v>
          </cell>
        </row>
        <row r="7">
          <cell r="B7">
            <v>0.501</v>
          </cell>
          <cell r="C7">
            <v>5.2380000000000004</v>
          </cell>
        </row>
        <row r="8">
          <cell r="B8">
            <v>0.503</v>
          </cell>
          <cell r="C8">
            <v>5.2770000000000001</v>
          </cell>
          <cell r="O8">
            <v>0.56961622013395985</v>
          </cell>
          <cell r="P8">
            <v>1.5674831808911938E-2</v>
          </cell>
        </row>
        <row r="9">
          <cell r="B9">
            <v>0.50600000000000001</v>
          </cell>
          <cell r="C9">
            <v>5.1559999999999997</v>
          </cell>
        </row>
        <row r="10">
          <cell r="B10">
            <v>0.50700000000000001</v>
          </cell>
          <cell r="C10">
            <v>5.1559999999999997</v>
          </cell>
        </row>
        <row r="11">
          <cell r="B11">
            <v>0.501</v>
          </cell>
          <cell r="C11">
            <v>5.18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averages"/>
    </sheetNames>
    <sheetDataSet>
      <sheetData sheetId="0">
        <row r="26">
          <cell r="B26">
            <v>4.657</v>
          </cell>
        </row>
      </sheetData>
      <sheetData sheetId="1">
        <row r="16">
          <cell r="J16">
            <v>1.0727894087517655</v>
          </cell>
          <cell r="K16">
            <v>1.2206887288207253E-3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ultimate"/>
      <sheetName val="Proximate"/>
    </sheetNames>
    <sheetDataSet>
      <sheetData sheetId="0" refreshError="1"/>
      <sheetData sheetId="1">
        <row r="24">
          <cell r="E24">
            <v>2.4835058735182103</v>
          </cell>
        </row>
        <row r="26">
          <cell r="E26">
            <v>3.4680939160306257</v>
          </cell>
          <cell r="I26">
            <v>0.29088891197217892</v>
          </cell>
        </row>
      </sheetData>
      <sheetData sheetId="2">
        <row r="15">
          <cell r="B15">
            <v>1.0552191508893758</v>
          </cell>
          <cell r="C15">
            <v>1.6044430499887973E-2</v>
          </cell>
        </row>
        <row r="16">
          <cell r="C16">
            <v>2.392844201920067E-2</v>
          </cell>
        </row>
        <row r="17">
          <cell r="B17">
            <v>1.0679273028577756</v>
          </cell>
          <cell r="C17">
            <v>7.2657946800953263E-3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H20" totalsRowShown="0">
  <autoFilter ref="A2:AH20" xr:uid="{00000000-0009-0000-0100-000001000000}"/>
  <tableColumns count="34">
    <tableColumn id="1" xr3:uid="{00000000-0010-0000-0000-000001000000}" name="Column1"/>
    <tableColumn id="2" xr3:uid="{00000000-0010-0000-0000-000002000000}" name="Raw A"/>
    <tableColumn id="3" xr3:uid="{00000000-0010-0000-0000-000003000000}" name="Column2"/>
    <tableColumn id="4" xr3:uid="{00000000-0010-0000-0000-000004000000}" name="Column3"/>
    <tableColumn id="5" xr3:uid="{00000000-0010-0000-0000-000005000000}" name="Raw A2"/>
    <tableColumn id="6" xr3:uid="{00000000-0010-0000-0000-000006000000}" name="Column4"/>
    <tableColumn id="7" xr3:uid="{00000000-0010-0000-0000-000007000000}" name="Column5"/>
    <tableColumn id="8" xr3:uid="{00000000-0010-0000-0000-000008000000}" name="Raw B"/>
    <tableColumn id="9" xr3:uid="{00000000-0010-0000-0000-000009000000}" name="Column6"/>
    <tableColumn id="10" xr3:uid="{00000000-0010-0000-0000-00000A000000}" name="Column7"/>
    <tableColumn id="11" xr3:uid="{00000000-0010-0000-0000-00000B000000}" name="PE RAW A"/>
    <tableColumn id="12" xr3:uid="{00000000-0010-0000-0000-00000C000000}" name="Column8"/>
    <tableColumn id="13" xr3:uid="{00000000-0010-0000-0000-00000D000000}" name="Column9"/>
    <tableColumn id="14" xr3:uid="{00000000-0010-0000-0000-00000E000000}" name="PE Raw B"/>
    <tableColumn id="15" xr3:uid="{00000000-0010-0000-0000-00000F000000}" name="Column10"/>
    <tableColumn id="16" xr3:uid="{00000000-0010-0000-0000-000010000000}" name="Column11"/>
    <tableColumn id="17" xr3:uid="{00000000-0010-0000-0000-000011000000}" name="PE SWE A"/>
    <tableColumn id="18" xr3:uid="{00000000-0010-0000-0000-000012000000}" name="Column12"/>
    <tableColumn id="19" xr3:uid="{00000000-0010-0000-0000-000013000000}" name="Column13"/>
    <tableColumn id="20" xr3:uid="{00000000-0010-0000-0000-000014000000}" name="PE SWE B"/>
    <tableColumn id="21" xr3:uid="{00000000-0010-0000-0000-000015000000}" name="Column14"/>
    <tableColumn id="22" xr3:uid="{00000000-0010-0000-0000-000016000000}" name="Column15"/>
    <tableColumn id="23" xr3:uid="{00000000-0010-0000-0000-000017000000}" name="AA A"/>
    <tableColumn id="24" xr3:uid="{00000000-0010-0000-0000-000018000000}" name="aa a2"/>
    <tableColumn id="25" xr3:uid="{00000000-0010-0000-0000-000019000000}" name="AA A 3"/>
    <tableColumn id="26" xr3:uid="{00000000-0010-0000-0000-00001A000000}" name="AA B"/>
    <tableColumn id="27" xr3:uid="{00000000-0010-0000-0000-00001B000000}" name="AA B2"/>
    <tableColumn id="28" xr3:uid="{00000000-0010-0000-0000-00001C000000}" name="AA B3"/>
    <tableColumn id="29" xr3:uid="{00000000-0010-0000-0000-00001D000000}" name="AA"/>
    <tableColumn id="30" xr3:uid="{00000000-0010-0000-0000-00001E000000}" name="AA2"/>
    <tableColumn id="31" xr3:uid="{00000000-0010-0000-0000-00001F000000}" name="AA3"/>
    <tableColumn id="32" xr3:uid="{00000000-0010-0000-0000-000020000000}" name="AVERAGE AA" dataDxfId="77">
      <calculatedColumnFormula>AVERAGE(Table1[[#This Row],[AA]:[AA3]])</calculatedColumnFormula>
    </tableColumn>
    <tableColumn id="33" xr3:uid="{00000000-0010-0000-0000-000021000000}" name="Column16" dataDxfId="76"/>
    <tableColumn id="34" xr3:uid="{00000000-0010-0000-0000-000022000000}" name="Column17" dataDxfId="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27:O44" totalsRowShown="0" tableBorderDxfId="74">
  <autoFilter ref="A27:O44" xr:uid="{00000000-0009-0000-0100-000003000000}"/>
  <tableColumns count="15">
    <tableColumn id="1" xr3:uid="{00000000-0010-0000-0100-000001000000}" name="Column1" dataDxfId="73"/>
    <tableColumn id="2" xr3:uid="{00000000-0010-0000-0100-000002000000}" name="RAW" dataDxfId="72">
      <calculatedColumnFormula>AVERAGE(B3:D3,H3:J3)/1000000</calculatedColumnFormula>
    </tableColumn>
    <tableColumn id="3" xr3:uid="{00000000-0010-0000-0100-000003000000}" name="STDEV" dataDxfId="71">
      <calculatedColumnFormula>STDEV(B3:D3,H3:J3)/1000000</calculatedColumnFormula>
    </tableColumn>
    <tableColumn id="13" xr3:uid="{00000000-0010-0000-0100-00000D000000}" name="corrected" dataDxfId="70">
      <calculatedColumnFormula>Table3[[#This Row],[RAW]]/Table3[[#This Row],[Recovery]]</calculatedColumnFormula>
    </tableColumn>
    <tableColumn id="4" xr3:uid="{00000000-0010-0000-0100-000004000000}" name="PE RAW" dataDxfId="69">
      <calculatedColumnFormula>AVERAGE(K3:P3)/1000000</calculatedColumnFormula>
    </tableColumn>
    <tableColumn id="5" xr3:uid="{00000000-0010-0000-0100-000005000000}" name="STDEV2" dataDxfId="68">
      <calculatedColumnFormula>STDEV(K3:P3)/1000000</calculatedColumnFormula>
    </tableColumn>
    <tableColumn id="14" xr3:uid="{00000000-0010-0000-0100-00000E000000}" name="corrected2" dataDxfId="67">
      <calculatedColumnFormula>Table3[[#This Row],[PE RAW]]/Table3[[#This Row],[Recovery]]</calculatedColumnFormula>
    </tableColumn>
    <tableColumn id="6" xr3:uid="{00000000-0010-0000-0100-000006000000}" name="PESWE " dataDxfId="66">
      <calculatedColumnFormula>AVERAGE(Q3:V3)/1000000</calculatedColumnFormula>
    </tableColumn>
    <tableColumn id="7" xr3:uid="{00000000-0010-0000-0100-000007000000}" name="STDEV3" dataDxfId="65">
      <calculatedColumnFormula>STDEV(Q3:V3)/1000000</calculatedColumnFormula>
    </tableColumn>
    <tableColumn id="15" xr3:uid="{00000000-0010-0000-0100-00000F000000}" name="CORRECTED3" dataDxfId="64">
      <calculatedColumnFormula>Table3[[#This Row],[PESWE ]]/Table3[[#This Row],[Recovery]]</calculatedColumnFormula>
    </tableColumn>
    <tableColumn id="8" xr3:uid="{00000000-0010-0000-0100-000008000000}" name="AA H" dataDxfId="63">
      <calculatedColumnFormula>AVERAGE(W3:AB3)/1000000</calculatedColumnFormula>
    </tableColumn>
    <tableColumn id="9" xr3:uid="{00000000-0010-0000-0100-000009000000}" name="STDEV4" dataDxfId="62">
      <calculatedColumnFormula>STDEV(W3:AB3)/1000000</calculatedColumnFormula>
    </tableColumn>
    <tableColumn id="10" xr3:uid="{00000000-0010-0000-0100-00000A000000}" name="AA STD" dataDxfId="61">
      <calculatedColumnFormula>AVERAGE(AC3:AE3)/1000000</calculatedColumnFormula>
    </tableColumn>
    <tableColumn id="11" xr3:uid="{00000000-0010-0000-0100-00000B000000}" name="STDEV5" dataDxfId="60">
      <calculatedColumnFormula>STDEV(AC3:AE3)/1000000</calculatedColumnFormula>
    </tableColumn>
    <tableColumn id="12" xr3:uid="{00000000-0010-0000-0100-00000C000000}" name="Recovery" dataCellStyle="Percent">
      <calculatedColumnFormula>Table3[[#This Row],[AA H]]/Table3[[#This Row],[AA STD]]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G19" totalsRowShown="0">
  <autoFilter ref="A1:G19" xr:uid="{00000000-0009-0000-0100-000002000000}"/>
  <tableColumns count="7">
    <tableColumn id="1" xr3:uid="{00000000-0010-0000-0200-000001000000}" name="Amino acid"/>
    <tableColumn id="2" xr3:uid="{00000000-0010-0000-0200-000002000000}" name="std conc (M)"/>
    <tableColumn id="3" xr3:uid="{00000000-0010-0000-0200-000003000000}" name="Mw (g/mol)"/>
    <tableColumn id="4" xr3:uid="{00000000-0010-0000-0200-000004000000}" name="g/L">
      <calculatedColumnFormula>C2*B2</calculatedColumnFormula>
    </tableColumn>
    <tableColumn id="5" xr3:uid="{00000000-0010-0000-0200-000005000000}" name="mg/ml" dataDxfId="59">
      <calculatedColumnFormula>Table2[[#This Row],[g/L]]</calculatedColumnFormula>
    </tableColumn>
    <tableColumn id="6" xr3:uid="{00000000-0010-0000-0200-000006000000}" name="expected mg/ g" dataDxfId="58">
      <calculatedColumnFormula>Table2[[#This Row],[mg/ml]]*AVERAGE([1]Balance!$C$10:$C$11)/AVERAGE([1]Balance!$B$10:$B$11)</calculatedColumnFormula>
    </tableColumn>
    <tableColumn id="7" xr3:uid="{00000000-0010-0000-0200-000007000000}" name="DF = 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G20" totalsRowCount="1" tableBorderDxfId="57">
  <autoFilter ref="A1:G19" xr:uid="{00000000-0009-0000-0100-000004000000}"/>
  <tableColumns count="7">
    <tableColumn id="1" xr3:uid="{00000000-0010-0000-0300-000001000000}" name="Amino Acid" totalsRowLabel="% solid material"/>
    <tableColumn id="2" xr3:uid="{00000000-0010-0000-0300-000002000000}" name="RAW mg/mL" totalsRowDxfId="56"/>
    <tableColumn id="3" xr3:uid="{00000000-0010-0000-0300-000003000000}" name="Raw mg/ g SCG" totalsRowFunction="custom" totalsRowDxfId="55" dataCellStyle="Percent">
      <totalsRowFormula>C19/1000</totalsRowFormula>
    </tableColumn>
    <tableColumn id="8" xr3:uid="{00000000-0010-0000-0300-000008000000}" name="PE RAW  mg/mL" dataDxfId="54" totalsRowDxfId="53">
      <calculatedColumnFormula>'RAW DATA'!G28</calculatedColumnFormula>
    </tableColumn>
    <tableColumn id="9" xr3:uid="{00000000-0010-0000-0300-000009000000}" name="PE RAW mg/ g PESCG" totalsRowFunction="custom" dataDxfId="52" totalsRowDxfId="51" dataCellStyle="Percent">
      <calculatedColumnFormula>Table4[[#This Row],[PE RAW  mg/mL]]*AVERAGE([1]Balance!$C$8:$C$9)/AVERAGE([1]Balance!$B$8:$B$9)</calculatedColumnFormula>
      <totalsRowFormula>E19/1000</totalsRowFormula>
    </tableColumn>
    <tableColumn id="10" xr3:uid="{00000000-0010-0000-0300-00000A000000}" name="PE SWE mg/ mL" dataDxfId="50" totalsRowDxfId="49">
      <calculatedColumnFormula>'RAW DATA'!H28</calculatedColumnFormula>
    </tableColumn>
    <tableColumn id="11" xr3:uid="{00000000-0010-0000-0300-00000B000000}" name="PE SWE mg/ g SCG" totalsRowFunction="custom" dataDxfId="48" totalsRowDxfId="47" dataCellStyle="Percent">
      <calculatedColumnFormula>Table4[[#This Row],[PE SWE mg/ mL]]*AVERAGE([1]Balance!$C$6:$C$7)/AVERAGE([1]Balance!$B$6:$B$7)</calculatedColumnFormula>
      <totalsRowFormula>G19/1000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47" displayName="Table47" ref="A1:K20" totalsRowCount="1" tableBorderDxfId="46">
  <autoFilter ref="A1:K19" xr:uid="{00000000-0009-0000-0100-000006000000}"/>
  <tableColumns count="11">
    <tableColumn id="1" xr3:uid="{00000000-0010-0000-0400-000001000000}" name="Amino Acid" totalsRowLabel="% solid material"/>
    <tableColumn id="2" xr3:uid="{00000000-0010-0000-0400-000002000000}" name="RAW mg/mL" totalsRowDxfId="45"/>
    <tableColumn id="3" xr3:uid="{00000000-0010-0000-0400-000003000000}" name="Raw mg/ g SCG" totalsRowFunction="custom" totalsRowDxfId="44" dataCellStyle="Percent">
      <totalsRowFormula>C19/1000</totalsRowFormula>
    </tableColumn>
    <tableColumn id="8" xr3:uid="{00000000-0010-0000-0400-000008000000}" name="PP PE RAW  mg/mL" dataDxfId="43" totalsRowDxfId="42">
      <calculatedColumnFormula>'RAW DATA'!G28</calculatedColumnFormula>
    </tableColumn>
    <tableColumn id="9" xr3:uid="{00000000-0010-0000-0400-000009000000}" name="PP PE RAW mg/ g PESCG" totalsRowFunction="custom" dataDxfId="41" totalsRowDxfId="40" dataCellStyle="Percent">
      <calculatedColumnFormula>Table47[[#This Row],[PP PE RAW  mg/mL]]*AVERAGE([1]Balance!$C$8:$C$9)/AVERAGE([1]Balance!$B$8:$B$9)</calculatedColumnFormula>
      <totalsRowFormula>E19/1000</totalsRowFormula>
    </tableColumn>
    <tableColumn id="10" xr3:uid="{00000000-0010-0000-0400-00000A000000}" name="PP PE SWE mg/ mL" dataDxfId="39" totalsRowDxfId="38">
      <calculatedColumnFormula>'RAW DATA'!H28</calculatedColumnFormula>
    </tableColumn>
    <tableColumn id="11" xr3:uid="{00000000-0010-0000-0400-00000B000000}" name="PP PE SWE mg/ g SCG" totalsRowFunction="custom" dataDxfId="37" totalsRowDxfId="36" dataCellStyle="Percent">
      <calculatedColumnFormula>Table47[[#This Row],[PP PE SWE mg/ mL]]*AVERAGE([1]Balance!$C$6:$C$7)/AVERAGE([1]Balance!$B$6:$B$7)</calculatedColumnFormula>
      <totalsRowFormula>G19/1000</totalsRowFormula>
    </tableColumn>
    <tableColumn id="4" xr3:uid="{00000000-0010-0000-0400-000004000000}" name="raw mg/ g SCg DB" totalsRowFunction="custom" dataDxfId="35" totalsRowDxfId="34">
      <calculatedColumnFormula>Table47[[#This Row],[Raw mg/ g SCG]]*[2]averages!$J$16</calculatedColumnFormula>
      <totalsRowFormula>H19/1000</totalsRowFormula>
    </tableColumn>
    <tableColumn id="5" xr3:uid="{00000000-0010-0000-0400-000005000000}" name="pp pe raw mg/ g DB" totalsRowFunction="custom" dataDxfId="33" totalsRowDxfId="32">
      <calculatedColumnFormula>Table47[[#This Row],[PP PE RAW mg/ g PESCG]]*[3]Proximate!$B$17</calculatedColumnFormula>
      <totalsRowFormula>I19/1000</totalsRowFormula>
    </tableColumn>
    <tableColumn id="6" xr3:uid="{00000000-0010-0000-0400-000006000000}" name="pp pe swe mg/g db" totalsRowFunction="custom" dataDxfId="31" totalsRowDxfId="30">
      <calculatedColumnFormula>Table47[[#This Row],[PP PE SWE mg/ g SCG]]*[3]Proximate!$B$15</calculatedColumnFormula>
      <totalsRowFormula>J19/1000</totalsRowFormula>
    </tableColumn>
    <tableColumn id="7" xr3:uid="{5B3138C3-25CC-42A7-8622-987742A37F7E}" name="nrel: % AA of solid" dataDxfId="29" totalsRowDxfId="28">
      <calculatedColumnFormula>Table47[[#This Row],[Raw mg/ g SCG]]/10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4:P45" totalsRowCount="1" tableBorderDxfId="27">
  <autoFilter ref="A24:P44" xr:uid="{00000000-0009-0000-0100-000007000000}"/>
  <tableColumns count="16">
    <tableColumn id="1" xr3:uid="{00000000-0010-0000-0500-000001000000}" name="Amino Acid" dataDxfId="26" totalsRowDxfId="25"/>
    <tableColumn id="2" xr3:uid="{00000000-0010-0000-0500-000002000000}" name="RAW mg/ g SCG" totalsRowDxfId="24"/>
    <tableColumn id="3" xr3:uid="{00000000-0010-0000-0500-000003000000}" name="PP PE Raw mg/ g SCG" totalsRowDxfId="23"/>
    <tableColumn id="4" xr3:uid="{00000000-0010-0000-0500-000004000000}" name="PP PE SWE mg/ g SCG" totalsRowDxfId="22"/>
    <tableColumn id="5" xr3:uid="{00000000-0010-0000-0500-000005000000}" name="raw sd^2" totalsRowDxfId="21"/>
    <tableColumn id="6" xr3:uid="{00000000-0010-0000-0500-000006000000}" name="PE Raw mg/ g SCG sd^2" totalsRowDxfId="20"/>
    <tableColumn id="7" xr3:uid="{00000000-0010-0000-0500-000007000000}" name="PE SWE mg/ g SCG sd^2" totalsRowLabel="error addition SD AA" totalsRowDxfId="19"/>
    <tableColumn id="8" xr3:uid="{00000000-0010-0000-0500-000008000000}" name="raw mg/ g SCg DB" totalsRowFunction="custom" dataDxfId="18" totalsRowDxfId="17">
      <calculatedColumnFormula>Table7[[#This Row],[RAW mg/ g SCG]]*[2]averages!$J$16</calculatedColumnFormula>
      <totalsRowFormula>Table47[[#Totals],[raw mg/ g SCg DB]]*SQRT((SUM(K25:K41)+N25))</totalsRowFormula>
    </tableColumn>
    <tableColumn id="9" xr3:uid="{00000000-0010-0000-0500-000009000000}" name="PP pe raw mg/ g DB" totalsRowFunction="custom" dataDxfId="16" totalsRowDxfId="15">
      <calculatedColumnFormula>Table7[[#This Row],[PP PE Raw mg/ g SCG]]*[3]Proximate!$B$17</calculatedColumnFormula>
      <totalsRowFormula>Table47[[#Totals],[pp pe raw mg/ g DB]]*SQRT((SUM(L25:L41)+O25))</totalsRowFormula>
    </tableColumn>
    <tableColumn id="10" xr3:uid="{00000000-0010-0000-0500-00000A000000}" name="PP pe swe mg/g db" totalsRowFunction="custom" dataDxfId="14" totalsRowDxfId="13">
      <calculatedColumnFormula>J2*SQRT((Table7[[#This Row],[PP PE SWE mg/ g SCG]]/G2)^2+([3]Proximate!$C$15/[3]Proximate!$B$15)^2)</calculatedColumnFormula>
      <totalsRowFormula>Table47[[#Totals],[pp pe swe mg/g db]]*SQRT((SUM(M25:M41)+P25))</totalsRowFormula>
    </tableColumn>
    <tableColumn id="11" xr3:uid="{00000000-0010-0000-0500-00000B000000}" name="raw sd^2 DB" totalsRowDxfId="12"/>
    <tableColumn id="12" xr3:uid="{00000000-0010-0000-0500-00000C000000}" name="pp PE Raw mg/ g SCG sd^2 DB" totalsRowDxfId="11"/>
    <tableColumn id="13" xr3:uid="{00000000-0010-0000-0500-00000D000000}" name="pp PE SWE mg/ g SCG sd^2 DB" totalsRowDxfId="10"/>
    <tableColumn id="14" xr3:uid="{00000000-0010-0000-0500-00000E000000}" name="RAW MC STDEV^2" dataDxfId="9" totalsRowDxfId="8">
      <calculatedColumnFormula>([2]averages!$K$16)^2</calculatedColumnFormula>
    </tableColumn>
    <tableColumn id="15" xr3:uid="{00000000-0010-0000-0500-00000F000000}" name="PP PE RAW MC STDEV^2" dataDxfId="7" totalsRowDxfId="6">
      <calculatedColumnFormula>([3]Proximate!$C$16)^2</calculatedColumnFormula>
    </tableColumn>
    <tableColumn id="16" xr3:uid="{00000000-0010-0000-0500-000010000000}" name="PP PE SWE MC STDEV^2" totalsRowDxfId="5">
      <calculatedColumnFormula>(([3]Proximate!$C$15)^2)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50:P70" totalsRowShown="0">
  <autoFilter ref="A50:P70" xr:uid="{00000000-0009-0000-0100-000008000000}"/>
  <tableColumns count="16">
    <tableColumn id="1" xr3:uid="{00000000-0010-0000-0600-000001000000}" name="Amino Acid" dataDxfId="4"/>
    <tableColumn id="2" xr3:uid="{00000000-0010-0000-0600-000002000000}" name="Raw SCG" dataDxfId="3" dataCellStyle="Percent"/>
    <tableColumn id="3" xr3:uid="{00000000-0010-0000-0600-000003000000}" name="PP PE RAW" dataDxfId="2" dataCellStyle="Percent"/>
    <tableColumn id="4" xr3:uid="{00000000-0010-0000-0600-000004000000}" name="PP PE SWE" dataDxfId="1" dataCellStyle="Percent"/>
    <tableColumn id="5" xr3:uid="{00000000-0010-0000-0600-000005000000}" name="raw"/>
    <tableColumn id="6" xr3:uid="{00000000-0010-0000-0600-000006000000}" name="pp pe raw2"/>
    <tableColumn id="7" xr3:uid="{00000000-0010-0000-0600-000007000000}" name="pppeswe"/>
    <tableColumn id="8" xr3:uid="{00000000-0010-0000-0600-000008000000}" name="raw sd^2"/>
    <tableColumn id="9" xr3:uid="{00000000-0010-0000-0600-000009000000}" name="PE Raw mg/ g SCG sd^2"/>
    <tableColumn id="10" xr3:uid="{00000000-0010-0000-0600-00000A000000}" name="PE SWE mg/ g SCG sd^2"/>
    <tableColumn id="11" xr3:uid="{00000000-0010-0000-0600-00000B000000}" name="error bars"/>
    <tableColumn id="12" xr3:uid="{00000000-0010-0000-0600-00000C000000}" name="Column3"/>
    <tableColumn id="13" xr3:uid="{00000000-0010-0000-0600-00000D000000}" name="Column4"/>
    <tableColumn id="14" xr3:uid="{00000000-0010-0000-0600-00000E000000}" name="RAW MC STDEV^2"/>
    <tableColumn id="15" xr3:uid="{00000000-0010-0000-0600-00000F000000}" name="PP PE RAW MC STDEV^2"/>
    <tableColumn id="16" xr3:uid="{00000000-0010-0000-0600-000010000000}" name="PP PE SWE MC STDEV^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74:J88" totalsRowShown="0">
  <autoFilter ref="A74:J88" xr:uid="{00000000-0009-0000-0100-000009000000}"/>
  <tableColumns count="10">
    <tableColumn id="1" xr3:uid="{00000000-0010-0000-0700-000001000000}" name="Column1"/>
    <tableColumn id="2" xr3:uid="{00000000-0010-0000-0700-000002000000}" name="raw" dataDxfId="0"/>
    <tableColumn id="3" xr3:uid="{00000000-0010-0000-0700-000003000000}" name="pp pe raw"/>
    <tableColumn id="4" xr3:uid="{00000000-0010-0000-0700-000004000000}" name="pppeswe"/>
    <tableColumn id="5" xr3:uid="{00000000-0010-0000-0700-000005000000}" name="raw2"/>
    <tableColumn id="6" xr3:uid="{00000000-0010-0000-0700-000006000000}" name="pp pe raw3"/>
    <tableColumn id="7" xr3:uid="{00000000-0010-0000-0700-000007000000}" name="pppeswe4"/>
    <tableColumn id="8" xr3:uid="{00000000-0010-0000-0700-000008000000}" name="raw sd^2"/>
    <tableColumn id="9" xr3:uid="{00000000-0010-0000-0700-000009000000}" name="PE Raw mg/ g SCG sd^2"/>
    <tableColumn id="10" xr3:uid="{00000000-0010-0000-0700-00000A000000}" name="PE SWE mg/ g SCG sd^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zoomScale="57" zoomScaleNormal="57" workbookViewId="0">
      <selection activeCell="C2" sqref="C2"/>
    </sheetView>
  </sheetViews>
  <sheetFormatPr defaultRowHeight="14.4" x14ac:dyDescent="0.3"/>
  <cols>
    <col min="1" max="1" width="15.6640625" customWidth="1"/>
    <col min="2" max="2" width="16.33203125" customWidth="1"/>
    <col min="3" max="3" width="13.109375" customWidth="1"/>
    <col min="4" max="4" width="17.44140625" customWidth="1"/>
    <col min="5" max="5" width="13.5546875" customWidth="1"/>
    <col min="6" max="6" width="13.109375" customWidth="1"/>
    <col min="7" max="7" width="13.5546875" customWidth="1"/>
    <col min="8" max="8" width="14.88671875" bestFit="1" customWidth="1"/>
    <col min="9" max="9" width="13.5546875" customWidth="1"/>
    <col min="10" max="10" width="21" bestFit="1" customWidth="1"/>
    <col min="11" max="11" width="20" customWidth="1"/>
    <col min="12" max="12" width="17.88671875" customWidth="1"/>
    <col min="13" max="13" width="13.109375" customWidth="1"/>
    <col min="14" max="14" width="13.88671875" customWidth="1"/>
    <col min="15" max="15" width="14.109375" customWidth="1"/>
    <col min="16" max="16" width="13.6640625" customWidth="1"/>
    <col min="17" max="17" width="14.33203125" customWidth="1"/>
    <col min="18" max="19" width="14.109375" customWidth="1"/>
    <col min="20" max="20" width="20" customWidth="1"/>
    <col min="21" max="22" width="14.109375" customWidth="1"/>
    <col min="24" max="25" width="14.109375" customWidth="1"/>
    <col min="27" max="28" width="14.109375" customWidth="1"/>
    <col min="30" max="30" width="14.44140625" customWidth="1"/>
    <col min="31" max="31" width="14.109375" customWidth="1"/>
    <col min="32" max="32" width="24.109375" bestFit="1" customWidth="1"/>
    <col min="33" max="33" width="11.33203125" customWidth="1"/>
  </cols>
  <sheetData>
    <row r="1" spans="1:34" x14ac:dyDescent="0.3">
      <c r="B1" t="s">
        <v>15</v>
      </c>
    </row>
    <row r="2" spans="1:34" x14ac:dyDescent="0.3">
      <c r="A2" t="s">
        <v>31</v>
      </c>
      <c r="B2" t="s">
        <v>16</v>
      </c>
      <c r="C2" t="s">
        <v>32</v>
      </c>
      <c r="D2" t="s">
        <v>33</v>
      </c>
      <c r="E2" t="s">
        <v>18</v>
      </c>
      <c r="F2" t="s">
        <v>34</v>
      </c>
      <c r="G2" t="s">
        <v>35</v>
      </c>
      <c r="H2" t="s">
        <v>17</v>
      </c>
      <c r="I2" t="s">
        <v>36</v>
      </c>
      <c r="J2" t="s">
        <v>37</v>
      </c>
      <c r="K2" t="s">
        <v>19</v>
      </c>
      <c r="L2" t="s">
        <v>38</v>
      </c>
      <c r="M2" t="s">
        <v>39</v>
      </c>
      <c r="N2" t="s">
        <v>20</v>
      </c>
      <c r="O2" t="s">
        <v>40</v>
      </c>
      <c r="P2" t="s">
        <v>41</v>
      </c>
      <c r="Q2" t="s">
        <v>21</v>
      </c>
      <c r="R2" t="s">
        <v>42</v>
      </c>
      <c r="S2" t="s">
        <v>43</v>
      </c>
      <c r="T2" t="s">
        <v>22</v>
      </c>
      <c r="U2" t="s">
        <v>44</v>
      </c>
      <c r="V2" t="s">
        <v>45</v>
      </c>
      <c r="W2" t="s">
        <v>23</v>
      </c>
      <c r="X2" t="s">
        <v>49</v>
      </c>
      <c r="Y2" t="s">
        <v>50</v>
      </c>
      <c r="Z2" t="s">
        <v>24</v>
      </c>
      <c r="AA2" t="s">
        <v>51</v>
      </c>
      <c r="AB2" t="s">
        <v>52</v>
      </c>
      <c r="AC2" t="s">
        <v>25</v>
      </c>
      <c r="AD2" t="s">
        <v>46</v>
      </c>
      <c r="AE2" t="s">
        <v>47</v>
      </c>
      <c r="AF2" t="s">
        <v>48</v>
      </c>
      <c r="AG2" t="s">
        <v>75</v>
      </c>
      <c r="AH2" t="s">
        <v>76</v>
      </c>
    </row>
    <row r="3" spans="1:34" x14ac:dyDescent="0.3">
      <c r="A3" t="s">
        <v>0</v>
      </c>
      <c r="B3">
        <v>389267.18589999998</v>
      </c>
      <c r="C3">
        <v>387750.81020000001</v>
      </c>
      <c r="D3">
        <v>405546.13170000003</v>
      </c>
      <c r="E3">
        <v>780309.13589999999</v>
      </c>
      <c r="F3">
        <v>674465.35129999998</v>
      </c>
      <c r="G3">
        <v>638228.70090000005</v>
      </c>
      <c r="H3">
        <v>467466.02299999999</v>
      </c>
      <c r="I3">
        <v>446398.53460000001</v>
      </c>
      <c r="J3">
        <v>450381.53810000001</v>
      </c>
      <c r="K3">
        <v>532839.63009999995</v>
      </c>
      <c r="L3">
        <v>657801.09970000002</v>
      </c>
      <c r="M3">
        <v>554900.6925</v>
      </c>
      <c r="N3">
        <v>812110.24549999996</v>
      </c>
      <c r="O3">
        <v>737943.44339999999</v>
      </c>
      <c r="P3">
        <v>732156.7132</v>
      </c>
      <c r="Q3">
        <v>510713.51150000002</v>
      </c>
      <c r="R3">
        <v>481983.33130000002</v>
      </c>
      <c r="S3">
        <v>516343.33069999999</v>
      </c>
      <c r="T3">
        <v>494767.6202</v>
      </c>
      <c r="U3">
        <v>532206.40460000001</v>
      </c>
      <c r="V3">
        <v>506947.50459999999</v>
      </c>
      <c r="W3">
        <v>33280.953699999998</v>
      </c>
      <c r="X3">
        <v>35492.0959</v>
      </c>
      <c r="Y3">
        <v>36186.358200000002</v>
      </c>
      <c r="Z3">
        <v>39074.939599999998</v>
      </c>
      <c r="AA3">
        <v>39664.422599999998</v>
      </c>
      <c r="AB3">
        <v>40230.300000000003</v>
      </c>
      <c r="AC3">
        <v>327448.60920000001</v>
      </c>
      <c r="AD3">
        <v>348770.07799999998</v>
      </c>
      <c r="AE3">
        <v>355976.66899999999</v>
      </c>
      <c r="AF3">
        <f>AVERAGE(Table1[[#This Row],[AA]:[AA3]])</f>
        <v>344065.11873333337</v>
      </c>
    </row>
    <row r="4" spans="1:34" x14ac:dyDescent="0.3">
      <c r="A4" t="s">
        <v>1</v>
      </c>
      <c r="B4" s="1">
        <v>670564.55209999997</v>
      </c>
      <c r="C4" s="1">
        <v>872883.07279999997</v>
      </c>
      <c r="D4" s="1">
        <v>701967.99979999999</v>
      </c>
      <c r="E4" s="1">
        <v>1158177.5663999999</v>
      </c>
      <c r="F4" s="1">
        <v>1075066.2226</v>
      </c>
      <c r="G4" s="1">
        <v>1076191.2948</v>
      </c>
      <c r="H4" s="1">
        <v>779592.6825</v>
      </c>
      <c r="I4" s="1">
        <v>965287.00970000005</v>
      </c>
      <c r="J4" s="1">
        <v>782994.18929999997</v>
      </c>
      <c r="K4" s="1">
        <v>928026.36129999999</v>
      </c>
      <c r="L4" s="1">
        <v>958041.03910000005</v>
      </c>
      <c r="M4" s="1">
        <v>884215.88029999996</v>
      </c>
      <c r="N4" s="1">
        <v>1403122.3378999999</v>
      </c>
      <c r="O4" s="1">
        <v>1117666.1492999999</v>
      </c>
      <c r="P4" s="1">
        <v>1178783.9502000001</v>
      </c>
      <c r="Q4" s="1">
        <v>771238.41969999997</v>
      </c>
      <c r="R4" s="1">
        <v>813374.08779999998</v>
      </c>
      <c r="S4" s="1">
        <v>747466.15520000004</v>
      </c>
      <c r="T4" s="1">
        <v>766915.19010000001</v>
      </c>
      <c r="U4" s="1">
        <v>822352.33620000002</v>
      </c>
      <c r="V4" s="1">
        <v>795845.36869999999</v>
      </c>
      <c r="W4" s="1">
        <v>21672.257699999998</v>
      </c>
      <c r="X4" s="1">
        <v>13008.963400000001</v>
      </c>
      <c r="Y4" s="1">
        <v>12026.8616</v>
      </c>
      <c r="Z4" s="1">
        <v>27238.4948</v>
      </c>
      <c r="AA4" s="1">
        <v>24185.3995</v>
      </c>
      <c r="AB4" s="1">
        <v>29826.6057</v>
      </c>
      <c r="AC4" s="1">
        <v>270826.34159999999</v>
      </c>
      <c r="AD4" s="1">
        <v>291967.69500000001</v>
      </c>
      <c r="AE4" s="1">
        <v>299383.50750000001</v>
      </c>
      <c r="AF4">
        <f>AVERAGE(Table1[[#This Row],[AA]:[AA3]])</f>
        <v>287392.5147</v>
      </c>
    </row>
    <row r="5" spans="1:34" x14ac:dyDescent="0.3">
      <c r="A5" t="s">
        <v>2</v>
      </c>
      <c r="B5">
        <v>1395.7431999999999</v>
      </c>
      <c r="C5">
        <v>1592.425</v>
      </c>
      <c r="D5">
        <v>1421.9176</v>
      </c>
      <c r="E5">
        <v>2195.9937</v>
      </c>
      <c r="F5">
        <v>1956.4758999999999</v>
      </c>
      <c r="G5">
        <v>1810.4849999999999</v>
      </c>
      <c r="H5">
        <v>1329.7548999999999</v>
      </c>
      <c r="I5">
        <v>1522.2086999999999</v>
      </c>
      <c r="J5">
        <v>1448.9658999999999</v>
      </c>
      <c r="K5">
        <v>1524.2779</v>
      </c>
      <c r="L5">
        <v>1154.1954000000001</v>
      </c>
      <c r="M5">
        <v>1741.7335</v>
      </c>
      <c r="N5">
        <v>1197.9957999999999</v>
      </c>
      <c r="O5">
        <v>1873.1242999999999</v>
      </c>
      <c r="P5">
        <v>1931.3113000000001</v>
      </c>
      <c r="Q5">
        <v>1952.3742999999999</v>
      </c>
      <c r="R5">
        <v>2060.0736000000002</v>
      </c>
      <c r="S5">
        <v>1564.6419000000001</v>
      </c>
      <c r="T5">
        <v>1593.4558</v>
      </c>
      <c r="U5">
        <v>1869.6674</v>
      </c>
      <c r="V5">
        <v>1658.8703</v>
      </c>
      <c r="W5">
        <v>1187.0463</v>
      </c>
      <c r="X5">
        <v>1227.2044000000001</v>
      </c>
      <c r="Y5">
        <v>1184.1574000000001</v>
      </c>
      <c r="Z5">
        <v>1163.4045000000001</v>
      </c>
      <c r="AA5">
        <v>1382.1008999999999</v>
      </c>
      <c r="AB5">
        <v>1144.4744000000001</v>
      </c>
      <c r="AC5">
        <v>1219.8669</v>
      </c>
      <c r="AD5">
        <v>1162.7863</v>
      </c>
      <c r="AE5">
        <v>1175.1642999999999</v>
      </c>
      <c r="AF5">
        <f>AVERAGE(Table1[[#This Row],[AA]:[AA3]])</f>
        <v>1185.9391666666666</v>
      </c>
    </row>
    <row r="6" spans="1:34" x14ac:dyDescent="0.3">
      <c r="A6" t="s">
        <v>3</v>
      </c>
      <c r="B6">
        <v>340489.51880000002</v>
      </c>
      <c r="C6">
        <v>332946.73940000002</v>
      </c>
      <c r="D6">
        <v>336764.82819999999</v>
      </c>
      <c r="E6">
        <v>556737.00679999997</v>
      </c>
      <c r="F6">
        <v>573204.90150000004</v>
      </c>
      <c r="G6">
        <v>585113.56900000002</v>
      </c>
      <c r="H6">
        <v>380637.34470000002</v>
      </c>
      <c r="I6">
        <v>355414.37569999998</v>
      </c>
      <c r="J6">
        <v>369097.96399999998</v>
      </c>
      <c r="K6">
        <v>489715.90110000002</v>
      </c>
      <c r="L6">
        <v>476637.21220000001</v>
      </c>
      <c r="M6">
        <v>499393.33630000002</v>
      </c>
      <c r="N6">
        <v>627199.42169999995</v>
      </c>
      <c r="O6">
        <v>595979.91500000004</v>
      </c>
      <c r="P6">
        <v>654906.01699999999</v>
      </c>
      <c r="Q6">
        <v>423382.95130000002</v>
      </c>
      <c r="R6">
        <v>415016.62819999998</v>
      </c>
      <c r="S6">
        <v>411691.39199999999</v>
      </c>
      <c r="T6">
        <v>423730.44890000002</v>
      </c>
      <c r="U6">
        <v>402185.3481</v>
      </c>
      <c r="V6">
        <v>429922.53370000003</v>
      </c>
      <c r="W6">
        <v>24795.644100000001</v>
      </c>
      <c r="X6">
        <v>25224.676200000002</v>
      </c>
      <c r="Y6">
        <v>25237.195100000001</v>
      </c>
      <c r="Z6">
        <v>27925.0347</v>
      </c>
      <c r="AA6">
        <v>28810.261900000001</v>
      </c>
      <c r="AB6">
        <v>28703.334900000002</v>
      </c>
      <c r="AC6">
        <v>273323.54090000002</v>
      </c>
      <c r="AD6">
        <v>286733.80550000002</v>
      </c>
      <c r="AE6">
        <v>294121.12680000003</v>
      </c>
      <c r="AF6">
        <f>AVERAGE(Table1[[#This Row],[AA]:[AA3]])</f>
        <v>284726.15773333336</v>
      </c>
    </row>
    <row r="7" spans="1:34" x14ac:dyDescent="0.3">
      <c r="A7" t="s">
        <v>4</v>
      </c>
      <c r="B7">
        <v>59710.727099999996</v>
      </c>
      <c r="C7">
        <v>61516.856699999997</v>
      </c>
      <c r="D7">
        <v>58679.111700000001</v>
      </c>
      <c r="E7">
        <v>78071.298899999994</v>
      </c>
      <c r="F7">
        <v>73327.545299999998</v>
      </c>
      <c r="G7">
        <v>77978.0092</v>
      </c>
      <c r="H7">
        <v>71084.731799999994</v>
      </c>
      <c r="I7">
        <v>69643.844100000002</v>
      </c>
      <c r="J7">
        <v>68188.533599999995</v>
      </c>
      <c r="K7">
        <v>69674.927100000001</v>
      </c>
      <c r="L7">
        <v>64299.125899999999</v>
      </c>
      <c r="M7">
        <v>66238.600300000006</v>
      </c>
      <c r="N7">
        <v>80808.519199999995</v>
      </c>
      <c r="O7">
        <v>88016.5098</v>
      </c>
      <c r="P7">
        <v>80705.051000000007</v>
      </c>
      <c r="Q7">
        <v>37488.2307</v>
      </c>
      <c r="R7">
        <v>37524.2981</v>
      </c>
      <c r="S7">
        <v>38906.565799999997</v>
      </c>
      <c r="T7">
        <v>42753.178899999999</v>
      </c>
      <c r="U7">
        <v>45108.762900000002</v>
      </c>
      <c r="V7">
        <v>44132.330199999997</v>
      </c>
      <c r="W7">
        <v>21795.828300000001</v>
      </c>
      <c r="X7">
        <v>22096.9084</v>
      </c>
      <c r="Y7">
        <v>23280.769100000001</v>
      </c>
      <c r="Z7">
        <v>29023.854800000001</v>
      </c>
      <c r="AA7">
        <v>29244.208900000001</v>
      </c>
      <c r="AB7">
        <v>29422.3848</v>
      </c>
      <c r="AC7">
        <v>327335.40289999999</v>
      </c>
      <c r="AD7">
        <v>349778.28590000002</v>
      </c>
      <c r="AE7">
        <v>352148.02299999999</v>
      </c>
      <c r="AF7">
        <f>AVERAGE(Table1[[#This Row],[AA]:[AA3]])</f>
        <v>343087.23726666666</v>
      </c>
    </row>
    <row r="8" spans="1:34" x14ac:dyDescent="0.3">
      <c r="A8" t="s">
        <v>5</v>
      </c>
      <c r="B8">
        <v>577846.2844</v>
      </c>
      <c r="C8">
        <v>586643.53960000002</v>
      </c>
      <c r="D8">
        <v>696852.58109999995</v>
      </c>
      <c r="E8">
        <v>1078838.4135</v>
      </c>
      <c r="F8">
        <v>1852457.5018</v>
      </c>
      <c r="G8">
        <v>1345066.5514</v>
      </c>
      <c r="H8">
        <v>656349.26060000004</v>
      </c>
      <c r="I8">
        <v>890446.67630000005</v>
      </c>
      <c r="J8">
        <v>682291.76540000003</v>
      </c>
      <c r="K8">
        <v>891219.83739999996</v>
      </c>
      <c r="L8">
        <v>727919.09939999995</v>
      </c>
      <c r="M8">
        <v>947224.16229999997</v>
      </c>
      <c r="N8">
        <v>1477501.7156</v>
      </c>
      <c r="O8">
        <v>1314904.3666000001</v>
      </c>
      <c r="P8">
        <v>1315024.2911</v>
      </c>
      <c r="Q8">
        <v>755425.39289999998</v>
      </c>
      <c r="R8">
        <v>708937.62419999996</v>
      </c>
      <c r="S8">
        <v>671948.12749999994</v>
      </c>
      <c r="T8">
        <v>712985.21589999995</v>
      </c>
      <c r="U8">
        <v>828189.40099999995</v>
      </c>
      <c r="V8">
        <v>758520.48089999997</v>
      </c>
      <c r="W8">
        <v>23912.850600000002</v>
      </c>
      <c r="X8">
        <v>25321.379000000001</v>
      </c>
      <c r="Y8">
        <v>25061.222699999998</v>
      </c>
      <c r="Z8">
        <v>27918.348099999999</v>
      </c>
      <c r="AA8">
        <v>28578.4329</v>
      </c>
      <c r="AB8">
        <v>26355.881000000001</v>
      </c>
      <c r="AC8">
        <v>279518.22989999998</v>
      </c>
      <c r="AD8">
        <v>270738.36450000003</v>
      </c>
      <c r="AE8">
        <v>315142.7034</v>
      </c>
      <c r="AF8">
        <f>AVERAGE(Table1[[#This Row],[AA]:[AA3]])</f>
        <v>288466.4326</v>
      </c>
    </row>
    <row r="9" spans="1:34" x14ac:dyDescent="0.3">
      <c r="A9" t="s">
        <v>6</v>
      </c>
      <c r="B9">
        <v>407724.49920000002</v>
      </c>
      <c r="C9">
        <v>427232.58899999998</v>
      </c>
      <c r="D9">
        <v>421235.61440000002</v>
      </c>
      <c r="E9">
        <v>587263.65240000002</v>
      </c>
      <c r="F9">
        <v>581971.08470000001</v>
      </c>
      <c r="G9">
        <v>575679.43870000006</v>
      </c>
      <c r="H9">
        <v>444265.36550000001</v>
      </c>
      <c r="I9">
        <v>466348.37660000002</v>
      </c>
      <c r="J9">
        <v>450574.0932</v>
      </c>
      <c r="K9">
        <v>456707.62689999997</v>
      </c>
      <c r="L9">
        <v>461646.03940000001</v>
      </c>
      <c r="M9">
        <v>476319.53690000001</v>
      </c>
      <c r="N9">
        <v>608459.39309999999</v>
      </c>
      <c r="O9">
        <v>592769.56850000005</v>
      </c>
      <c r="P9">
        <v>632111.74199999997</v>
      </c>
      <c r="Q9">
        <v>345141.40519999998</v>
      </c>
      <c r="R9">
        <v>342075.55829999998</v>
      </c>
      <c r="S9">
        <v>355622.53519999998</v>
      </c>
      <c r="T9">
        <v>390029.72489999997</v>
      </c>
      <c r="U9">
        <v>389873.0834</v>
      </c>
      <c r="V9">
        <v>382997.50420000002</v>
      </c>
      <c r="W9">
        <v>22504.894199999999</v>
      </c>
      <c r="X9">
        <v>23401.917000000001</v>
      </c>
      <c r="Y9">
        <v>24067.356500000002</v>
      </c>
      <c r="Z9">
        <v>26052.920300000002</v>
      </c>
      <c r="AA9">
        <v>26446.687999999998</v>
      </c>
      <c r="AB9">
        <v>26529.702600000001</v>
      </c>
      <c r="AC9">
        <v>247909.70329999999</v>
      </c>
      <c r="AD9">
        <v>245891.39449999999</v>
      </c>
      <c r="AE9">
        <v>260435.5828</v>
      </c>
      <c r="AF9">
        <f>AVERAGE(Table1[[#This Row],[AA]:[AA3]])</f>
        <v>251412.22686666666</v>
      </c>
    </row>
    <row r="10" spans="1:34" x14ac:dyDescent="0.3">
      <c r="A10" t="s">
        <v>7</v>
      </c>
      <c r="B10">
        <v>154489.54680000001</v>
      </c>
      <c r="C10">
        <v>184957.5282</v>
      </c>
      <c r="D10">
        <v>157559.30600000001</v>
      </c>
      <c r="E10">
        <v>638979.14099999995</v>
      </c>
      <c r="F10">
        <v>553344.46779999998</v>
      </c>
      <c r="G10">
        <v>561514.93409999995</v>
      </c>
      <c r="H10">
        <v>174642.28539999999</v>
      </c>
      <c r="I10">
        <v>196662.01079999999</v>
      </c>
      <c r="J10">
        <v>163882.78479999999</v>
      </c>
      <c r="K10">
        <v>405967.08909999998</v>
      </c>
      <c r="L10">
        <v>465067.72529999999</v>
      </c>
      <c r="M10">
        <v>415599.0001</v>
      </c>
      <c r="N10">
        <v>662002.66680000001</v>
      </c>
      <c r="O10">
        <v>584383.60609999998</v>
      </c>
      <c r="P10">
        <v>614886.05819999997</v>
      </c>
      <c r="Q10">
        <v>343530.12119999999</v>
      </c>
      <c r="R10">
        <v>374122.03360000002</v>
      </c>
      <c r="S10">
        <v>333576.55589999998</v>
      </c>
      <c r="T10">
        <v>405805.93819999998</v>
      </c>
      <c r="U10">
        <v>444141.69380000001</v>
      </c>
      <c r="V10">
        <v>393545.20539999998</v>
      </c>
      <c r="W10">
        <v>35635.356</v>
      </c>
      <c r="X10">
        <v>35250.832600000002</v>
      </c>
      <c r="Y10">
        <v>36973.104800000001</v>
      </c>
      <c r="Z10">
        <v>41456.006600000001</v>
      </c>
      <c r="AA10">
        <v>43873.367100000003</v>
      </c>
      <c r="AB10">
        <v>38533.123500000002</v>
      </c>
      <c r="AC10">
        <v>496654.90130000003</v>
      </c>
      <c r="AD10">
        <v>469273.74489999999</v>
      </c>
      <c r="AE10">
        <v>488956.30540000001</v>
      </c>
      <c r="AF10">
        <f>AVERAGE(Table1[[#This Row],[AA]:[AA3]])</f>
        <v>484961.65053333336</v>
      </c>
    </row>
    <row r="11" spans="1:34" x14ac:dyDescent="0.3">
      <c r="A11" t="s">
        <v>8</v>
      </c>
      <c r="B11">
        <v>474669.87079999998</v>
      </c>
      <c r="C11">
        <v>423546.10029999999</v>
      </c>
      <c r="D11">
        <v>475662.68920000002</v>
      </c>
      <c r="E11">
        <v>637553.45270000002</v>
      </c>
      <c r="F11">
        <v>569557.95730000001</v>
      </c>
      <c r="G11">
        <v>509852.50829999999</v>
      </c>
      <c r="H11">
        <v>473411.28960000002</v>
      </c>
      <c r="I11">
        <v>498372.47360000003</v>
      </c>
      <c r="J11">
        <v>533906.33759999997</v>
      </c>
      <c r="K11">
        <v>466774.80420000001</v>
      </c>
      <c r="L11">
        <v>452414.71740000002</v>
      </c>
      <c r="M11">
        <v>589895.86219999997</v>
      </c>
      <c r="N11">
        <v>801735.03780000005</v>
      </c>
      <c r="O11">
        <v>667478.56660000002</v>
      </c>
      <c r="P11">
        <v>623907.4081</v>
      </c>
      <c r="Q11">
        <v>345164.84740000003</v>
      </c>
      <c r="R11">
        <v>394842.62599999999</v>
      </c>
      <c r="S11">
        <v>412562.99890000001</v>
      </c>
      <c r="T11">
        <v>382868.33549999999</v>
      </c>
      <c r="U11">
        <v>381745.5956</v>
      </c>
      <c r="V11">
        <v>362713.66529999999</v>
      </c>
      <c r="W11">
        <v>17466.2467</v>
      </c>
      <c r="X11">
        <v>17668.142199999998</v>
      </c>
      <c r="Y11">
        <v>22184.740600000001</v>
      </c>
      <c r="Z11">
        <v>20694.277099999999</v>
      </c>
      <c r="AA11">
        <v>20287.656999999999</v>
      </c>
      <c r="AB11">
        <v>21527.863600000001</v>
      </c>
      <c r="AC11">
        <v>230657.38939999999</v>
      </c>
      <c r="AD11">
        <v>235406.0729</v>
      </c>
      <c r="AE11">
        <v>205031.48509999999</v>
      </c>
      <c r="AF11">
        <f>AVERAGE(Table1[[#This Row],[AA]:[AA3]])</f>
        <v>223698.31579999998</v>
      </c>
    </row>
    <row r="12" spans="1:34" x14ac:dyDescent="0.3">
      <c r="A12" t="s">
        <v>9</v>
      </c>
      <c r="B12">
        <v>344821.00050000002</v>
      </c>
      <c r="C12">
        <v>281612.73930000002</v>
      </c>
      <c r="D12">
        <v>337712.51270000002</v>
      </c>
      <c r="E12">
        <v>57064.717100000002</v>
      </c>
      <c r="F12">
        <v>47706.382599999997</v>
      </c>
      <c r="G12">
        <v>44641.215100000001</v>
      </c>
      <c r="H12">
        <v>366629.05849999998</v>
      </c>
      <c r="I12">
        <v>379037.03539999999</v>
      </c>
      <c r="J12">
        <v>423256.72560000001</v>
      </c>
      <c r="K12">
        <v>42049.593699999998</v>
      </c>
      <c r="L12">
        <v>37447.338499999998</v>
      </c>
      <c r="M12">
        <v>53974.788399999998</v>
      </c>
      <c r="N12">
        <v>87246.082399999999</v>
      </c>
      <c r="O12">
        <v>68262.733300000007</v>
      </c>
      <c r="P12">
        <v>69947.877900000007</v>
      </c>
      <c r="Q12">
        <v>22875.116300000002</v>
      </c>
      <c r="R12">
        <v>24691.1976</v>
      </c>
      <c r="S12">
        <v>26000.124899999999</v>
      </c>
      <c r="T12">
        <v>35266.675999999999</v>
      </c>
      <c r="U12">
        <v>33001.240599999997</v>
      </c>
      <c r="V12">
        <v>31986.876100000001</v>
      </c>
      <c r="W12">
        <v>22053.2893</v>
      </c>
      <c r="X12">
        <v>22649.229200000002</v>
      </c>
      <c r="Y12">
        <v>21496.125100000001</v>
      </c>
      <c r="Z12">
        <v>25484.0641</v>
      </c>
      <c r="AA12">
        <v>26302.169000000002</v>
      </c>
      <c r="AB12">
        <v>23194.916300000001</v>
      </c>
      <c r="AC12">
        <v>319616.23180000001</v>
      </c>
      <c r="AD12">
        <v>341056.098</v>
      </c>
      <c r="AE12">
        <v>303525.20429999998</v>
      </c>
      <c r="AF12">
        <f>AVERAGE(Table1[[#This Row],[AA]:[AA3]])</f>
        <v>321399.17803333333</v>
      </c>
    </row>
    <row r="13" spans="1:34" x14ac:dyDescent="0.3">
      <c r="A13" t="s">
        <v>10</v>
      </c>
      <c r="B13">
        <v>411076.8898</v>
      </c>
      <c r="C13">
        <v>356224.99219999998</v>
      </c>
      <c r="D13">
        <v>439730.68469999998</v>
      </c>
      <c r="E13">
        <v>416249.4472</v>
      </c>
      <c r="F13">
        <v>347781.8101</v>
      </c>
      <c r="G13">
        <v>355207.15259999997</v>
      </c>
      <c r="H13">
        <v>450512.98700000002</v>
      </c>
      <c r="I13">
        <v>499752.05810000002</v>
      </c>
      <c r="J13">
        <v>506190.09389999998</v>
      </c>
      <c r="K13">
        <v>285362.74290000001</v>
      </c>
      <c r="L13">
        <v>322283.95770000003</v>
      </c>
      <c r="M13">
        <v>441539.15620000003</v>
      </c>
      <c r="N13">
        <v>583522.78689999995</v>
      </c>
      <c r="O13">
        <v>458519.25</v>
      </c>
      <c r="P13">
        <v>438383.58010000002</v>
      </c>
      <c r="Q13">
        <v>180038.85740000001</v>
      </c>
      <c r="R13">
        <v>245813.66260000001</v>
      </c>
      <c r="S13">
        <v>265480.63449999999</v>
      </c>
      <c r="T13">
        <v>276225.59409999999</v>
      </c>
      <c r="U13">
        <v>253567.49359999999</v>
      </c>
      <c r="V13">
        <v>218556.54860000001</v>
      </c>
      <c r="W13">
        <v>12866.4211</v>
      </c>
      <c r="X13">
        <v>17779.257300000001</v>
      </c>
      <c r="Y13">
        <v>20189.037199999999</v>
      </c>
      <c r="Z13">
        <v>10591.575199999999</v>
      </c>
      <c r="AA13">
        <v>22933.634300000002</v>
      </c>
      <c r="AB13">
        <v>15012.2176</v>
      </c>
      <c r="AC13">
        <v>145388.20389999999</v>
      </c>
      <c r="AD13">
        <v>157846.981</v>
      </c>
      <c r="AE13">
        <v>107135.7061</v>
      </c>
      <c r="AF13">
        <f>AVERAGE(Table1[[#This Row],[AA]:[AA3]])</f>
        <v>136790.29699999999</v>
      </c>
    </row>
    <row r="14" spans="1:34" x14ac:dyDescent="0.3">
      <c r="A14" t="s">
        <v>26</v>
      </c>
      <c r="B14">
        <v>1496165.094</v>
      </c>
      <c r="C14">
        <v>1554883.1532000001</v>
      </c>
      <c r="D14">
        <v>1424305.1484999999</v>
      </c>
      <c r="E14">
        <v>2055542.7013000001</v>
      </c>
      <c r="F14">
        <v>3378356.1428999999</v>
      </c>
      <c r="G14">
        <v>2791069.2511999998</v>
      </c>
      <c r="H14">
        <v>1637351.9549</v>
      </c>
      <c r="I14">
        <v>2138840.2650000001</v>
      </c>
      <c r="J14">
        <v>2502542.0145</v>
      </c>
      <c r="K14">
        <v>1941660.7124000001</v>
      </c>
      <c r="L14">
        <v>1827719.6314000001</v>
      </c>
      <c r="M14">
        <v>1686840.1498</v>
      </c>
      <c r="N14">
        <v>3854069.4559999998</v>
      </c>
      <c r="O14">
        <v>4574130.9779000003</v>
      </c>
      <c r="P14">
        <v>4872430.3046000004</v>
      </c>
      <c r="Q14">
        <v>1387024.4417999999</v>
      </c>
      <c r="R14">
        <v>1043954.3064</v>
      </c>
      <c r="S14">
        <v>966578.47580000001</v>
      </c>
      <c r="T14">
        <v>1077904.0976</v>
      </c>
      <c r="U14">
        <v>1086491.2844</v>
      </c>
      <c r="V14">
        <v>1427679.436</v>
      </c>
      <c r="W14">
        <v>21864.071400000001</v>
      </c>
      <c r="X14">
        <v>23435.242600000001</v>
      </c>
      <c r="Y14">
        <v>25036.8197</v>
      </c>
      <c r="Z14">
        <v>30053.713199999998</v>
      </c>
      <c r="AA14">
        <v>26517.746500000001</v>
      </c>
      <c r="AB14">
        <v>35708.233899999999</v>
      </c>
      <c r="AC14">
        <v>286718.4327</v>
      </c>
      <c r="AD14">
        <v>301704.3518</v>
      </c>
      <c r="AE14">
        <v>315222.75589999999</v>
      </c>
      <c r="AF14">
        <f>AVERAGE(Table1[[#This Row],[AA]:[AA3]])</f>
        <v>301215.18013333337</v>
      </c>
    </row>
    <row r="15" spans="1:34" x14ac:dyDescent="0.3">
      <c r="A15" t="s">
        <v>11</v>
      </c>
      <c r="B15">
        <v>273080.26809999999</v>
      </c>
      <c r="C15">
        <v>265610.40960000001</v>
      </c>
      <c r="D15">
        <v>283785.56530000002</v>
      </c>
      <c r="E15">
        <v>60491.793100000003</v>
      </c>
      <c r="F15">
        <v>63760.753599999996</v>
      </c>
      <c r="G15">
        <v>67362.532500000001</v>
      </c>
      <c r="H15">
        <v>378791.64069999999</v>
      </c>
      <c r="I15">
        <v>410072.46399999998</v>
      </c>
      <c r="J15">
        <v>412214.92940000002</v>
      </c>
      <c r="K15">
        <v>56796.964699999997</v>
      </c>
      <c r="L15">
        <v>59188.318299999999</v>
      </c>
      <c r="M15">
        <v>54308.7811</v>
      </c>
      <c r="N15">
        <v>98587.352400000003</v>
      </c>
      <c r="O15">
        <v>88997.844800000006</v>
      </c>
      <c r="P15">
        <v>87773.908500000005</v>
      </c>
      <c r="Q15">
        <v>32616.7588</v>
      </c>
      <c r="R15">
        <v>35360.323799999998</v>
      </c>
      <c r="S15">
        <v>37579.411399999997</v>
      </c>
      <c r="T15">
        <v>46053.410199999998</v>
      </c>
      <c r="U15">
        <v>45691.809000000001</v>
      </c>
      <c r="V15">
        <v>43936.717900000003</v>
      </c>
      <c r="W15">
        <v>22369.434799999999</v>
      </c>
      <c r="X15">
        <v>21046.931799999998</v>
      </c>
      <c r="Y15">
        <v>25434.8249</v>
      </c>
      <c r="Z15">
        <v>33419.754399999998</v>
      </c>
      <c r="AA15">
        <v>31603.5213</v>
      </c>
      <c r="AB15">
        <v>38526.3652</v>
      </c>
      <c r="AC15">
        <v>289871.47989999998</v>
      </c>
      <c r="AD15">
        <v>347253.57260000001</v>
      </c>
      <c r="AE15">
        <v>371768.97340000002</v>
      </c>
      <c r="AF15">
        <f>AVERAGE(Table1[[#This Row],[AA]:[AA3]])</f>
        <v>336298.00863333332</v>
      </c>
    </row>
    <row r="16" spans="1:34" x14ac:dyDescent="0.3">
      <c r="A16" t="s">
        <v>12</v>
      </c>
      <c r="B16">
        <v>59979.544600000001</v>
      </c>
      <c r="C16">
        <v>59289.769</v>
      </c>
      <c r="D16">
        <v>60082.811999999998</v>
      </c>
      <c r="E16">
        <v>34370.811099999999</v>
      </c>
      <c r="F16">
        <v>33202.891799999998</v>
      </c>
      <c r="G16">
        <v>35959.935700000002</v>
      </c>
      <c r="H16">
        <v>61697.307800000002</v>
      </c>
      <c r="I16">
        <v>67865.869300000006</v>
      </c>
      <c r="J16">
        <v>63450.154799999997</v>
      </c>
      <c r="K16">
        <v>27602.073899999999</v>
      </c>
      <c r="L16">
        <v>28932.7058</v>
      </c>
      <c r="M16">
        <v>26192.742099999999</v>
      </c>
      <c r="N16">
        <v>42957.114800000003</v>
      </c>
      <c r="O16">
        <v>42621.155599999998</v>
      </c>
      <c r="P16">
        <v>43862.061900000001</v>
      </c>
      <c r="Q16">
        <v>6060.0565999999999</v>
      </c>
      <c r="R16">
        <v>6833.1691000000001</v>
      </c>
      <c r="S16">
        <v>6281.5236000000004</v>
      </c>
      <c r="T16">
        <v>6559.8185999999996</v>
      </c>
      <c r="U16">
        <v>6518.5576000000001</v>
      </c>
      <c r="V16">
        <v>6078.8464999999997</v>
      </c>
      <c r="W16">
        <v>31829.397799999999</v>
      </c>
      <c r="X16">
        <v>30516.673200000001</v>
      </c>
      <c r="Y16">
        <v>34994.554400000001</v>
      </c>
      <c r="Z16">
        <v>40338.542300000001</v>
      </c>
      <c r="AA16">
        <v>36446.2595</v>
      </c>
      <c r="AB16">
        <v>39186.334900000002</v>
      </c>
      <c r="AC16">
        <v>248056.50469999999</v>
      </c>
      <c r="AD16">
        <v>301376.44809999998</v>
      </c>
      <c r="AE16">
        <v>333029.13069999998</v>
      </c>
      <c r="AF16">
        <f>AVERAGE(Table1[[#This Row],[AA]:[AA3]])</f>
        <v>294154.0278333333</v>
      </c>
    </row>
    <row r="17" spans="1:36" x14ac:dyDescent="0.3">
      <c r="A17" t="s">
        <v>13</v>
      </c>
      <c r="B17">
        <v>301054.71289999998</v>
      </c>
      <c r="C17">
        <v>272480.11959999998</v>
      </c>
      <c r="D17">
        <v>272289.92119999998</v>
      </c>
      <c r="E17">
        <v>444231.46529999998</v>
      </c>
      <c r="F17">
        <v>489707.43800000002</v>
      </c>
      <c r="G17">
        <v>459641.7403</v>
      </c>
      <c r="H17">
        <v>305833.0208</v>
      </c>
      <c r="I17">
        <v>350464.04129999998</v>
      </c>
      <c r="J17">
        <v>343334.73139999999</v>
      </c>
      <c r="K17">
        <v>353634.33270000003</v>
      </c>
      <c r="L17">
        <v>477494.08279999997</v>
      </c>
      <c r="M17">
        <v>458661.92749999999</v>
      </c>
      <c r="N17">
        <v>604213.25659999996</v>
      </c>
      <c r="O17">
        <v>633374.73670000001</v>
      </c>
      <c r="P17">
        <v>564202.95070000004</v>
      </c>
      <c r="Q17">
        <v>422550.95649999997</v>
      </c>
      <c r="R17">
        <v>368725.78879999998</v>
      </c>
      <c r="S17">
        <v>375611.962</v>
      </c>
      <c r="T17">
        <v>366279.18469999998</v>
      </c>
      <c r="U17">
        <v>364928.93349999998</v>
      </c>
      <c r="V17">
        <v>389521.76679999998</v>
      </c>
      <c r="W17">
        <v>59387.585500000001</v>
      </c>
      <c r="X17">
        <v>68631.800199999998</v>
      </c>
      <c r="Y17">
        <v>71751.103000000003</v>
      </c>
      <c r="Z17">
        <v>57721.5308</v>
      </c>
      <c r="AA17">
        <v>66782.707800000004</v>
      </c>
      <c r="AB17">
        <v>75231.700899999996</v>
      </c>
      <c r="AC17">
        <v>379935.91340000002</v>
      </c>
      <c r="AD17">
        <v>500540.89730000001</v>
      </c>
      <c r="AE17">
        <v>602155.73970000003</v>
      </c>
      <c r="AF17">
        <f>AVERAGE(Table1[[#This Row],[AA]:[AA3]])</f>
        <v>494210.85013333336</v>
      </c>
    </row>
    <row r="18" spans="1:36" x14ac:dyDescent="0.3">
      <c r="A18" t="s">
        <v>14</v>
      </c>
      <c r="B18">
        <v>44308.517200000002</v>
      </c>
      <c r="C18">
        <v>43034.950299999997</v>
      </c>
      <c r="D18">
        <v>43031.345600000001</v>
      </c>
      <c r="E18">
        <v>104721.03569999999</v>
      </c>
      <c r="F18">
        <v>104272.4633</v>
      </c>
      <c r="G18">
        <v>102708.6917</v>
      </c>
      <c r="H18">
        <v>41972.150900000001</v>
      </c>
      <c r="I18">
        <v>39461.268400000001</v>
      </c>
      <c r="J18">
        <v>39322.214500000002</v>
      </c>
      <c r="K18">
        <v>88740.890499999994</v>
      </c>
      <c r="L18">
        <v>87031.795199999993</v>
      </c>
      <c r="M18">
        <v>86544.289399999994</v>
      </c>
      <c r="N18">
        <v>103793.8897</v>
      </c>
      <c r="O18">
        <v>104707.45699999999</v>
      </c>
      <c r="P18">
        <v>104717.62300000001</v>
      </c>
      <c r="Q18">
        <v>92140.451499999996</v>
      </c>
      <c r="R18">
        <v>91290.286099999998</v>
      </c>
      <c r="S18">
        <v>89813.915500000003</v>
      </c>
      <c r="T18">
        <v>87032.493000000002</v>
      </c>
      <c r="U18">
        <v>86940.912599999996</v>
      </c>
      <c r="V18">
        <v>85148.4274</v>
      </c>
      <c r="W18">
        <v>3057.3301999999999</v>
      </c>
      <c r="X18">
        <v>2966.0412999999999</v>
      </c>
      <c r="Y18">
        <v>2855.3276000000001</v>
      </c>
      <c r="Z18">
        <v>3008.7858000000001</v>
      </c>
      <c r="AA18">
        <v>2937.7963</v>
      </c>
      <c r="AB18">
        <v>2853.6091999999999</v>
      </c>
      <c r="AC18">
        <v>3776.0012000000002</v>
      </c>
      <c r="AD18">
        <v>3774.2302</v>
      </c>
      <c r="AE18">
        <v>3767.9187000000002</v>
      </c>
      <c r="AF18">
        <f>AVERAGE(Table1[[#This Row],[AA]:[AA3]])</f>
        <v>3772.7167000000004</v>
      </c>
    </row>
    <row r="19" spans="1:36" x14ac:dyDescent="0.3">
      <c r="A19" t="s">
        <v>27</v>
      </c>
      <c r="B19">
        <v>558957.60459999996</v>
      </c>
      <c r="C19">
        <v>584698.49890000001</v>
      </c>
      <c r="D19">
        <v>529078.50300000003</v>
      </c>
      <c r="E19">
        <v>781763.88679999998</v>
      </c>
      <c r="F19">
        <v>1256955.5791</v>
      </c>
      <c r="G19">
        <v>1072435.2002000001</v>
      </c>
      <c r="H19">
        <v>561122.21669999999</v>
      </c>
      <c r="I19">
        <v>734402.17290000001</v>
      </c>
      <c r="J19">
        <v>843912.09589999996</v>
      </c>
      <c r="K19">
        <v>668180.62520000001</v>
      </c>
      <c r="L19">
        <v>620795.90520000004</v>
      </c>
      <c r="M19">
        <v>574517.24410000001</v>
      </c>
      <c r="N19">
        <v>1482923.4149</v>
      </c>
      <c r="O19">
        <v>1705789.6595000001</v>
      </c>
      <c r="P19">
        <v>1909184.7879999999</v>
      </c>
      <c r="Q19">
        <v>102840.0373</v>
      </c>
      <c r="R19">
        <v>75204.347999999998</v>
      </c>
      <c r="S19">
        <v>68568.9427</v>
      </c>
      <c r="T19">
        <v>72655.310200000007</v>
      </c>
      <c r="U19">
        <v>74448.698199999999</v>
      </c>
      <c r="V19">
        <v>93445.326400000005</v>
      </c>
      <c r="W19">
        <v>15391.9881</v>
      </c>
      <c r="X19">
        <v>16122.773800000001</v>
      </c>
      <c r="Y19">
        <v>17040.680100000001</v>
      </c>
      <c r="Z19">
        <v>25517.0717</v>
      </c>
      <c r="AA19">
        <v>19040.843799999999</v>
      </c>
      <c r="AB19">
        <v>27174.1266</v>
      </c>
      <c r="AC19">
        <v>218472.90090000001</v>
      </c>
      <c r="AD19">
        <v>226433.79920000001</v>
      </c>
      <c r="AE19">
        <v>245414.89230000001</v>
      </c>
      <c r="AF19">
        <f>AVERAGE(Table1[[#This Row],[AA]:[AA3]])</f>
        <v>230107.19746666666</v>
      </c>
    </row>
    <row r="20" spans="1:36" x14ac:dyDescent="0.3">
      <c r="A20" t="s">
        <v>28</v>
      </c>
      <c r="B20">
        <v>136275.85449999999</v>
      </c>
      <c r="C20">
        <v>124760.1516</v>
      </c>
      <c r="D20">
        <v>134910.71309999999</v>
      </c>
      <c r="E20">
        <v>152035.3983</v>
      </c>
      <c r="F20">
        <v>158987.05910000001</v>
      </c>
      <c r="G20">
        <v>166697.1863</v>
      </c>
      <c r="H20">
        <v>77464.906700000007</v>
      </c>
      <c r="I20">
        <v>71633.671100000007</v>
      </c>
      <c r="J20">
        <v>71766.619399999996</v>
      </c>
      <c r="K20">
        <v>119417.8162</v>
      </c>
      <c r="L20">
        <v>117726.11870000001</v>
      </c>
      <c r="M20">
        <v>113275.8934</v>
      </c>
      <c r="N20">
        <v>74389.478799999997</v>
      </c>
      <c r="O20">
        <v>101539.1099</v>
      </c>
      <c r="P20">
        <v>137050.22659999999</v>
      </c>
      <c r="Q20">
        <v>68834.238400000002</v>
      </c>
      <c r="R20">
        <v>71940.056500000006</v>
      </c>
      <c r="S20">
        <v>70926.882299999997</v>
      </c>
      <c r="T20">
        <v>72621.549799999993</v>
      </c>
      <c r="U20">
        <v>62223.405200000001</v>
      </c>
      <c r="V20">
        <v>60426.754399999998</v>
      </c>
      <c r="W20">
        <v>19100.694899999999</v>
      </c>
      <c r="X20">
        <v>20678.663499999999</v>
      </c>
      <c r="Y20">
        <v>21888.302599999999</v>
      </c>
      <c r="Z20">
        <v>23707.6996</v>
      </c>
      <c r="AA20">
        <v>20896.488300000001</v>
      </c>
      <c r="AB20">
        <v>21584.520400000001</v>
      </c>
      <c r="AC20">
        <v>315073.39380000002</v>
      </c>
      <c r="AD20">
        <v>374479.1286</v>
      </c>
      <c r="AE20">
        <v>399292.56800000003</v>
      </c>
      <c r="AF20">
        <f>AVERAGE(Table1[[#This Row],[AA]:[AA3]])</f>
        <v>362948.36346666672</v>
      </c>
    </row>
    <row r="22" spans="1:36" x14ac:dyDescent="0.3">
      <c r="B22" t="s">
        <v>70</v>
      </c>
    </row>
    <row r="23" spans="1:36" x14ac:dyDescent="0.3">
      <c r="AG23">
        <f>AG3/4130</f>
        <v>0</v>
      </c>
    </row>
    <row r="24" spans="1:36" x14ac:dyDescent="0.3">
      <c r="AG24" t="e">
        <f>AG4/NPCF!#REF!</f>
        <v>#REF!</v>
      </c>
    </row>
    <row r="25" spans="1:36" x14ac:dyDescent="0.3">
      <c r="AG25">
        <f>'RAW DATA'!AG6/NPCF!E4</f>
        <v>0</v>
      </c>
    </row>
    <row r="26" spans="1:36" x14ac:dyDescent="0.3">
      <c r="B26" t="s">
        <v>72</v>
      </c>
      <c r="AG26">
        <f>AG7/NPCF!E5</f>
        <v>0</v>
      </c>
    </row>
    <row r="27" spans="1:36" x14ac:dyDescent="0.3">
      <c r="A27" s="2" t="s">
        <v>31</v>
      </c>
      <c r="B27" t="s">
        <v>53</v>
      </c>
      <c r="C27" t="s">
        <v>58</v>
      </c>
      <c r="D27" t="s">
        <v>64</v>
      </c>
      <c r="E27" t="s">
        <v>54</v>
      </c>
      <c r="F27" t="s">
        <v>59</v>
      </c>
      <c r="G27" t="s">
        <v>65</v>
      </c>
      <c r="H27" t="s">
        <v>55</v>
      </c>
      <c r="I27" t="s">
        <v>60</v>
      </c>
      <c r="J27" t="s">
        <v>66</v>
      </c>
      <c r="K27" t="s">
        <v>56</v>
      </c>
      <c r="L27" t="s">
        <v>61</v>
      </c>
      <c r="M27" t="s">
        <v>57</v>
      </c>
      <c r="N27" t="s">
        <v>62</v>
      </c>
      <c r="O27" t="s">
        <v>63</v>
      </c>
      <c r="AJ27">
        <f>AG8/NPCF!E6</f>
        <v>0</v>
      </c>
    </row>
    <row r="28" spans="1:36" x14ac:dyDescent="0.3">
      <c r="A28" s="3" t="s">
        <v>0</v>
      </c>
      <c r="B28">
        <f>AVERAGE(B3:D3,H3:J3)/1000000</f>
        <v>0.42446837058333331</v>
      </c>
      <c r="C28">
        <f>STDEV(B3:D3,H3:J3)/1000000</f>
        <v>3.4486450167742731E-2</v>
      </c>
      <c r="D28">
        <f>Table3[[#This Row],[RAW]]/Table3[[#This Row],[Recovery]]</f>
        <v>0.96329237803816836</v>
      </c>
      <c r="E28">
        <f>AVERAGE(K3:P3)/1000000</f>
        <v>0.67129197073333335</v>
      </c>
      <c r="F28">
        <f>STDEV(K3:P3)/1000000</f>
        <v>0.11034011606782429</v>
      </c>
      <c r="G28">
        <f>Table3[[#This Row],[PE RAW]]/Table3[[#This Row],[Recovery]]</f>
        <v>1.5234360995071792</v>
      </c>
      <c r="H28">
        <f>AVERAGE(Q3:V3)/1000000</f>
        <v>0.50716028381666678</v>
      </c>
      <c r="I28">
        <f>STDEV(Q3:V3)/1000000</f>
        <v>1.7388296454004991E-2</v>
      </c>
      <c r="J28">
        <f>Table3[[#This Row],[PESWE ]]/Table3[[#This Row],[Recovery]]</f>
        <v>1.1509541574861737</v>
      </c>
      <c r="K28">
        <f>AVERAGE(W3:AB3)/1000000</f>
        <v>3.7321511666666668E-2</v>
      </c>
      <c r="L28">
        <f>STDEV(W3:AB3)/1000000</f>
        <v>2.7563103906951408E-3</v>
      </c>
      <c r="M28">
        <v>8.4697777777777747E-2</v>
      </c>
      <c r="N28">
        <f>STDEV(AC3:AE3)/1000000</f>
        <v>1.4834588981965028E-2</v>
      </c>
      <c r="O28" s="5">
        <f>Table3[[#This Row],[AA H]]/Table3[[#This Row],[AA STD]]</f>
        <v>0.44064333971768921</v>
      </c>
      <c r="AJ28">
        <f>AG9/NPCF!E6</f>
        <v>0</v>
      </c>
    </row>
    <row r="29" spans="1:36" x14ac:dyDescent="0.3">
      <c r="A29" s="4" t="s">
        <v>1</v>
      </c>
      <c r="B29">
        <f>AVERAGE(B4:D4,H4:J4)/1000000</f>
        <v>0.79554825103333326</v>
      </c>
      <c r="C29">
        <f>STDEV(B4:D4,H4:J4)/1000000</f>
        <v>0.10916253377836374</v>
      </c>
      <c r="D29">
        <f>0.5*(Table3[[#This Row],[RAW]]/Table3[[#This Row],[Recovery]])</f>
        <v>1.2546256635626571</v>
      </c>
      <c r="E29">
        <f>AVERAGE(K4:P4)/1000000</f>
        <v>1.0783092863499999</v>
      </c>
      <c r="F29">
        <f>STDEV(K4:P4)/1000000</f>
        <v>0.19589246964828511</v>
      </c>
      <c r="G29">
        <f>(0.5*Table3[[#This Row],[PE RAW]]/Table3[[#This Row],[Recovery]])</f>
        <v>1.7005561914760075</v>
      </c>
      <c r="H29">
        <f>AVERAGE(Q4:V4)/1000000</f>
        <v>0.78619859294999983</v>
      </c>
      <c r="I29">
        <f>STDEV(Q4:V4)/1000000</f>
        <v>2.9101611972202197E-2</v>
      </c>
      <c r="J29">
        <f>0.5*(Table3[[#This Row],[PESWE ]]/Table3[[#This Row],[Recovery]])</f>
        <v>1.2398807113091015</v>
      </c>
      <c r="K29">
        <f>AVERAGE(W4:AB4)/1000000</f>
        <v>2.1326430449999999E-2</v>
      </c>
      <c r="L29">
        <f>STDEV(W4:AB4)/1000000</f>
        <v>7.3642518099081861E-3</v>
      </c>
      <c r="M29">
        <v>6.7266031746031726E-2</v>
      </c>
      <c r="N29">
        <f>STDEV(AC4:AE4)/1000000</f>
        <v>1.4818135413848873E-2</v>
      </c>
      <c r="O29" s="5">
        <f>Table3[[#This Row],[AA H]]/Table3[[#This Row],[AA STD]]</f>
        <v>0.31704606168117128</v>
      </c>
      <c r="AJ29">
        <f>AG20/NPCF!E18</f>
        <v>0</v>
      </c>
    </row>
    <row r="30" spans="1:36" x14ac:dyDescent="0.3">
      <c r="A30" s="13" t="s">
        <v>3</v>
      </c>
      <c r="B30">
        <f t="shared" ref="B30:B44" si="0">AVERAGE(B6:D6,H6:J6)/1000000</f>
        <v>0.3525584618</v>
      </c>
      <c r="C30">
        <f t="shared" ref="C30:C42" si="1">STDEV(B6:D6,H6:J6)/1000000</f>
        <v>1.9234619544263875E-2</v>
      </c>
      <c r="D30">
        <f>Table3[[#This Row],[RAW]]/Table3[[#This Row],[Recovery]]</f>
        <v>0.88546772805431517</v>
      </c>
      <c r="E30">
        <f t="shared" ref="E30:E44" si="2">AVERAGE(K6:P6)/1000000</f>
        <v>0.55730530055000005</v>
      </c>
      <c r="F30">
        <f t="shared" ref="F30:F44" si="3">STDEV(K6:P6)/1000000</f>
        <v>7.7892588639855057E-2</v>
      </c>
      <c r="G30">
        <f>Table3[[#This Row],[PE RAW]]/Table3[[#This Row],[Recovery]]</f>
        <v>1.3996993740872845</v>
      </c>
      <c r="H30">
        <f t="shared" ref="H30:H44" si="4">AVERAGE(Q6:V6)/1000000</f>
        <v>0.41765488369999992</v>
      </c>
      <c r="I30">
        <f t="shared" ref="I30:I44" si="5">STDEV(Q6:V6)/1000000</f>
        <v>1.0020465502869998E-2</v>
      </c>
      <c r="J30">
        <f>Table3[[#This Row],[PESWE ]]/Table3[[#This Row],[Recovery]]</f>
        <v>1.0489605584631245</v>
      </c>
      <c r="K30">
        <f t="shared" ref="K30:K44" si="6">AVERAGE(W6:AB6)/1000000</f>
        <v>2.6782691149999999E-2</v>
      </c>
      <c r="L30">
        <f t="shared" ref="L30:L44" si="7">STDEV(W6:AB6)/1000000</f>
        <v>1.8904596769462731E-3</v>
      </c>
      <c r="M30">
        <v>6.7266031746031726E-2</v>
      </c>
      <c r="N30">
        <f t="shared" ref="N30:N44" si="8">STDEV(AC6:AE6)/1000000</f>
        <v>1.0543143837737442E-2</v>
      </c>
      <c r="O30" s="5">
        <f>Table3[[#This Row],[AA H]]/Table3[[#This Row],[AA STD]]</f>
        <v>0.39816071284121812</v>
      </c>
    </row>
    <row r="31" spans="1:36" x14ac:dyDescent="0.3">
      <c r="A31" s="14" t="s">
        <v>4</v>
      </c>
      <c r="B31">
        <f t="shared" si="0"/>
        <v>6.480396749999999E-2</v>
      </c>
      <c r="C31">
        <f t="shared" si="1"/>
        <v>5.4513805065343523E-3</v>
      </c>
      <c r="D31">
        <f>Table3[[#This Row],[RAW]]/Table3[[#This Row],[Recovery]]</f>
        <v>0.19205839604674413</v>
      </c>
      <c r="E31">
        <f t="shared" si="2"/>
        <v>7.4957122216666658E-2</v>
      </c>
      <c r="F31">
        <f t="shared" si="3"/>
        <v>9.5428741074644313E-3</v>
      </c>
      <c r="G31">
        <f>Table3[[#This Row],[PE RAW]]/Table3[[#This Row],[Recovery]]</f>
        <v>0.22214912482345731</v>
      </c>
      <c r="H31">
        <f t="shared" si="4"/>
        <v>4.0985561099999998E-2</v>
      </c>
      <c r="I31">
        <f t="shared" si="5"/>
        <v>3.4223180588154032E-3</v>
      </c>
      <c r="J31">
        <f>Table3[[#This Row],[PESWE ]]/Table3[[#This Row],[Recovery]]</f>
        <v>0.1214681975442604</v>
      </c>
      <c r="K31">
        <f t="shared" si="6"/>
        <v>2.5810659049999997E-2</v>
      </c>
      <c r="L31">
        <f t="shared" si="7"/>
        <v>3.7807302837970136E-3</v>
      </c>
      <c r="M31">
        <v>7.6494603174603173E-2</v>
      </c>
      <c r="N31">
        <f t="shared" si="8"/>
        <v>1.3692849517794137E-2</v>
      </c>
      <c r="O31" s="5">
        <f>Table3[[#This Row],[AA H]]/Table3[[#This Row],[AA STD]]</f>
        <v>0.33741803968948941</v>
      </c>
    </row>
    <row r="32" spans="1:36" x14ac:dyDescent="0.3">
      <c r="A32" s="13" t="s">
        <v>5</v>
      </c>
      <c r="B32">
        <f t="shared" si="0"/>
        <v>0.68173835123333337</v>
      </c>
      <c r="C32">
        <f t="shared" si="1"/>
        <v>0.11337469015393463</v>
      </c>
      <c r="D32">
        <f>Table3[[#This Row],[RAW]]/Table3[[#This Row],[Recovery]]</f>
        <v>1.5640455135441835</v>
      </c>
      <c r="E32">
        <f t="shared" si="2"/>
        <v>1.1122989120666666</v>
      </c>
      <c r="F32">
        <f t="shared" si="3"/>
        <v>0.29644328559477673</v>
      </c>
      <c r="G32">
        <f>Table3[[#This Row],[PE RAW]]/Table3[[#This Row],[Recovery]]</f>
        <v>2.5518384289085083</v>
      </c>
      <c r="H32">
        <f t="shared" si="4"/>
        <v>0.73933437373333333</v>
      </c>
      <c r="I32">
        <f t="shared" si="5"/>
        <v>5.4187434260593061E-2</v>
      </c>
      <c r="J32">
        <f>Table3[[#This Row],[PESWE ]]/Table3[[#This Row],[Recovery]]</f>
        <v>1.6961824256397784</v>
      </c>
      <c r="K32">
        <f t="shared" si="6"/>
        <v>2.6191352383333335E-2</v>
      </c>
      <c r="L32">
        <f t="shared" si="7"/>
        <v>1.7851248936502778E-3</v>
      </c>
      <c r="M32">
        <v>6.0088253968253964E-2</v>
      </c>
      <c r="N32">
        <f t="shared" si="8"/>
        <v>2.3515719783938752E-2</v>
      </c>
      <c r="O32" s="5">
        <f>Table3[[#This Row],[AA H]]/Table3[[#This Row],[AA STD]]</f>
        <v>0.43588140199864756</v>
      </c>
    </row>
    <row r="33" spans="1:15" x14ac:dyDescent="0.3">
      <c r="A33" s="14" t="s">
        <v>6</v>
      </c>
      <c r="B33">
        <f t="shared" si="0"/>
        <v>0.43623008964999999</v>
      </c>
      <c r="C33">
        <f t="shared" si="1"/>
        <v>2.1427950426969402E-2</v>
      </c>
      <c r="D33">
        <f>Table3[[#This Row],[RAW]]/Table3[[#This Row],[Recovery]]</f>
        <v>1.0365917733263001</v>
      </c>
      <c r="E33">
        <f t="shared" si="2"/>
        <v>0.53800231779999996</v>
      </c>
      <c r="F33">
        <f t="shared" si="3"/>
        <v>8.1319257757931349E-2</v>
      </c>
      <c r="G33">
        <f>Table3[[#This Row],[PE RAW]]/Table3[[#This Row],[Recovery]]</f>
        <v>1.2784280357859117</v>
      </c>
      <c r="H33">
        <f t="shared" si="4"/>
        <v>0.36762330186666664</v>
      </c>
      <c r="I33">
        <f t="shared" si="5"/>
        <v>2.2519360330536208E-2</v>
      </c>
      <c r="J33">
        <f>Table3[[#This Row],[PESWE ]]/Table3[[#This Row],[Recovery]]</f>
        <v>0.87356489027106177</v>
      </c>
      <c r="K33">
        <f t="shared" si="6"/>
        <v>2.4833913099999994E-2</v>
      </c>
      <c r="L33">
        <f t="shared" si="7"/>
        <v>1.7335094085702608E-3</v>
      </c>
      <c r="M33">
        <v>5.9011587301587294E-2</v>
      </c>
      <c r="N33">
        <f t="shared" si="8"/>
        <v>7.8793468528651437E-3</v>
      </c>
      <c r="O33" s="5">
        <f>Table3[[#This Row],[AA H]]/Table3[[#This Row],[AA STD]]</f>
        <v>0.42083113225005575</v>
      </c>
    </row>
    <row r="34" spans="1:15" x14ac:dyDescent="0.3">
      <c r="A34" s="13" t="s">
        <v>7</v>
      </c>
      <c r="B34">
        <f t="shared" si="0"/>
        <v>0.17203224366666667</v>
      </c>
      <c r="C34">
        <f t="shared" si="1"/>
        <v>1.6517424405990546E-2</v>
      </c>
      <c r="D34">
        <f>Table3[[#This Row],[RAW]]/Table3[[#This Row],[Recovery]]</f>
        <v>0.41382278038202053</v>
      </c>
      <c r="E34">
        <f t="shared" si="2"/>
        <v>0.52465102426666665</v>
      </c>
      <c r="F34">
        <f t="shared" si="3"/>
        <v>0.1096395971766352</v>
      </c>
      <c r="G34">
        <f>Table3[[#This Row],[PE RAW]]/Table3[[#This Row],[Recovery]]</f>
        <v>1.26204565472615</v>
      </c>
      <c r="H34">
        <f t="shared" si="4"/>
        <v>0.38245359134999996</v>
      </c>
      <c r="I34">
        <f t="shared" si="5"/>
        <v>4.1102783280353758E-2</v>
      </c>
      <c r="J34">
        <f>Table3[[#This Row],[PESWE ]]/Table3[[#This Row],[Recovery]]</f>
        <v>0.91999037602630773</v>
      </c>
      <c r="K34">
        <f t="shared" si="6"/>
        <v>3.8620298433333339E-2</v>
      </c>
      <c r="L34">
        <f t="shared" si="7"/>
        <v>3.4240326777127961E-3</v>
      </c>
      <c r="M34">
        <v>9.2900952380952362E-2</v>
      </c>
      <c r="N34">
        <f t="shared" si="8"/>
        <v>1.4120902311047744E-2</v>
      </c>
      <c r="O34" s="5">
        <f>Table3[[#This Row],[AA H]]/Table3[[#This Row],[AA STD]]</f>
        <v>0.41571477410657548</v>
      </c>
    </row>
    <row r="35" spans="1:15" x14ac:dyDescent="0.3">
      <c r="A35" s="14" t="s">
        <v>8</v>
      </c>
      <c r="B35">
        <f t="shared" si="0"/>
        <v>0.47992812684999997</v>
      </c>
      <c r="C35">
        <f t="shared" si="1"/>
        <v>3.6113948727512314E-2</v>
      </c>
      <c r="D35">
        <f>Table3[[#This Row],[RAW]]/Table3[[#This Row],[Recovery]]</f>
        <v>1.0976318844434751</v>
      </c>
      <c r="E35">
        <f t="shared" si="2"/>
        <v>0.60036773271666666</v>
      </c>
      <c r="F35">
        <f t="shared" si="3"/>
        <v>0.13073147842907931</v>
      </c>
      <c r="G35">
        <f>Table3[[#This Row],[PE RAW]]/Table3[[#This Row],[Recovery]]</f>
        <v>1.3730863622144289</v>
      </c>
      <c r="H35">
        <f t="shared" si="4"/>
        <v>0.37998301145000007</v>
      </c>
      <c r="I35">
        <f t="shared" si="5"/>
        <v>2.3682189040869085E-2</v>
      </c>
      <c r="J35">
        <f>Table3[[#This Row],[PESWE ]]/Table3[[#This Row],[Recovery]]</f>
        <v>0.8690498547186164</v>
      </c>
      <c r="K35">
        <f t="shared" si="6"/>
        <v>1.9971487866666665E-2</v>
      </c>
      <c r="L35">
        <f t="shared" si="7"/>
        <v>1.9760979148273584E-3</v>
      </c>
      <c r="M35">
        <v>4.5676301587301585E-2</v>
      </c>
      <c r="N35">
        <f t="shared" si="8"/>
        <v>1.6339382639274962E-2</v>
      </c>
      <c r="O35" s="5">
        <f>Table3[[#This Row],[AA H]]/Table3[[#This Row],[AA STD]]</f>
        <v>0.4372396006820945</v>
      </c>
    </row>
    <row r="36" spans="1:15" x14ac:dyDescent="0.3">
      <c r="A36" s="13" t="s">
        <v>9</v>
      </c>
      <c r="B36">
        <f t="shared" si="0"/>
        <v>0.35551151200000003</v>
      </c>
      <c r="C36">
        <f t="shared" si="1"/>
        <v>4.7241050106687076E-2</v>
      </c>
      <c r="D36">
        <f>Table3[[#This Row],[RAW]]/Table3[[#This Row],[Recovery]]</f>
        <v>0.92258441172389083</v>
      </c>
      <c r="E36">
        <f t="shared" si="2"/>
        <v>5.9821402366666679E-2</v>
      </c>
      <c r="F36">
        <f t="shared" si="3"/>
        <v>1.8849580693763274E-2</v>
      </c>
      <c r="G36">
        <f>Table3[[#This Row],[PE RAW]]/Table3[[#This Row],[Recovery]]</f>
        <v>0.15524193014303667</v>
      </c>
      <c r="H36">
        <f t="shared" si="4"/>
        <v>2.8970205249999999E-2</v>
      </c>
      <c r="I36">
        <f t="shared" si="5"/>
        <v>5.0848104385202248E-3</v>
      </c>
      <c r="J36">
        <f>Table3[[#This Row],[PESWE ]]/Table3[[#This Row],[Recovery]]</f>
        <v>7.5180293368647982E-2</v>
      </c>
      <c r="K36">
        <f t="shared" si="6"/>
        <v>2.3529965500000007E-2</v>
      </c>
      <c r="L36">
        <f t="shared" si="7"/>
        <v>1.9343550528696193E-3</v>
      </c>
      <c r="M36">
        <v>6.1062380952380944E-2</v>
      </c>
      <c r="N36">
        <f t="shared" si="8"/>
        <v>1.8828865298615136E-2</v>
      </c>
      <c r="O36" s="5">
        <f>Table3[[#This Row],[AA H]]/Table3[[#This Row],[AA STD]]</f>
        <v>0.38534307265793777</v>
      </c>
    </row>
    <row r="37" spans="1:15" x14ac:dyDescent="0.3">
      <c r="A37" s="14" t="s">
        <v>10</v>
      </c>
      <c r="B37">
        <f t="shared" si="0"/>
        <v>0.44391461761666667</v>
      </c>
      <c r="C37">
        <f t="shared" si="1"/>
        <v>5.6258128751484476E-2</v>
      </c>
      <c r="D37">
        <f>Table3[[#This Row],[RAW]]/Table3[[#This Row],[Recovery]]</f>
        <v>1.0316073574600126</v>
      </c>
      <c r="E37">
        <f t="shared" si="2"/>
        <v>0.42160191230000005</v>
      </c>
      <c r="F37">
        <f t="shared" si="3"/>
        <v>0.1064758610270814</v>
      </c>
      <c r="G37">
        <f>Table3[[#This Row],[PE RAW]]/Table3[[#This Row],[Recovery]]</f>
        <v>0.97975515422982495</v>
      </c>
      <c r="H37">
        <f t="shared" si="4"/>
        <v>0.23994713179999999</v>
      </c>
      <c r="I37">
        <f t="shared" si="5"/>
        <v>3.5311684800913831E-2</v>
      </c>
      <c r="J37">
        <f>Table3[[#This Row],[PESWE ]]/Table3[[#This Row],[Recovery]]</f>
        <v>0.55760999242439413</v>
      </c>
      <c r="K37">
        <f t="shared" si="6"/>
        <v>1.6562023783333334E-2</v>
      </c>
      <c r="L37">
        <f t="shared" si="7"/>
        <v>4.6247148889430973E-3</v>
      </c>
      <c r="M37">
        <v>3.848826984126983E-2</v>
      </c>
      <c r="N37">
        <f t="shared" si="8"/>
        <v>2.6426338240317083E-2</v>
      </c>
      <c r="O37" s="5">
        <f>Table3[[#This Row],[AA H]]/Table3[[#This Row],[AA STD]]</f>
        <v>0.43031354362347479</v>
      </c>
    </row>
    <row r="38" spans="1:15" x14ac:dyDescent="0.3">
      <c r="A38" s="13" t="s">
        <v>26</v>
      </c>
      <c r="B38">
        <f t="shared" si="0"/>
        <v>1.7923479383500003</v>
      </c>
      <c r="C38">
        <f t="shared" si="1"/>
        <v>0.43081912904272851</v>
      </c>
      <c r="D38">
        <f>Table3[[#This Row],[RAW]]/Table3[[#This Row],[Recovery]]</f>
        <v>4.9875286529853495</v>
      </c>
      <c r="E38">
        <f>AVERAGE(K14:P14)/1000000</f>
        <v>3.1261418720166669</v>
      </c>
      <c r="F38">
        <f>STDEV(K14:P14)/1000000</f>
        <v>1.4721793157116212</v>
      </c>
      <c r="G38">
        <f>Table3[[#This Row],[PE RAW]]/Table3[[#This Row],[Recovery]]</f>
        <v>8.6990487875550624</v>
      </c>
      <c r="H38">
        <f t="shared" si="4"/>
        <v>1.1649386736666665</v>
      </c>
      <c r="I38">
        <f t="shared" si="5"/>
        <v>0.19290816060154403</v>
      </c>
      <c r="J38">
        <f>Table3[[#This Row],[PESWE ]]/Table3[[#This Row],[Recovery]]</f>
        <v>3.2416501782750786</v>
      </c>
      <c r="K38">
        <f t="shared" si="6"/>
        <v>2.7102637883333332E-2</v>
      </c>
      <c r="L38">
        <f t="shared" si="7"/>
        <v>5.0649224670890136E-3</v>
      </c>
      <c r="M38">
        <v>7.5417936507936489E-2</v>
      </c>
      <c r="N38">
        <f t="shared" si="8"/>
        <v>1.4258456331669162E-2</v>
      </c>
      <c r="O38" s="5">
        <f>Table3[[#This Row],[AA H]]/Table3[[#This Row],[AA STD]]</f>
        <v>0.35936594314644538</v>
      </c>
    </row>
    <row r="39" spans="1:15" x14ac:dyDescent="0.3">
      <c r="A39" s="14" t="s">
        <v>11</v>
      </c>
      <c r="B39">
        <f t="shared" si="0"/>
        <v>0.33725921284999999</v>
      </c>
      <c r="C39">
        <f t="shared" si="1"/>
        <v>7.0366171543369993E-2</v>
      </c>
      <c r="D39">
        <f>Table3[[#This Row],[RAW]]/Table3[[#This Row],[Recovery]]</f>
        <v>0.63247068816593277</v>
      </c>
      <c r="E39">
        <f t="shared" si="2"/>
        <v>7.4275528300000004E-2</v>
      </c>
      <c r="F39">
        <f t="shared" si="3"/>
        <v>1.9605166395985092E-2</v>
      </c>
      <c r="G39">
        <f>Table3[[#This Row],[PE RAW]]/Table3[[#This Row],[Recovery]]</f>
        <v>0.13929076718412087</v>
      </c>
      <c r="H39">
        <f t="shared" si="4"/>
        <v>4.0206405183333328E-2</v>
      </c>
      <c r="I39">
        <f t="shared" si="5"/>
        <v>5.7650791667861623E-3</v>
      </c>
      <c r="J39">
        <f>Table3[[#This Row],[PESWE ]]/Table3[[#This Row],[Recovery]]</f>
        <v>7.5400083336763193E-2</v>
      </c>
      <c r="K39">
        <f t="shared" si="6"/>
        <v>2.8733472066666665E-2</v>
      </c>
      <c r="L39">
        <f t="shared" si="7"/>
        <v>6.878431875989262E-3</v>
      </c>
      <c r="M39">
        <v>5.3884603174603161E-2</v>
      </c>
      <c r="N39">
        <f t="shared" si="8"/>
        <v>4.2033535977436504E-2</v>
      </c>
      <c r="O39" s="5">
        <f>Table3[[#This Row],[AA H]]/Table3[[#This Row],[AA STD]]</f>
        <v>0.53324085868390136</v>
      </c>
    </row>
    <row r="40" spans="1:15" x14ac:dyDescent="0.3">
      <c r="A40" s="13" t="s">
        <v>12</v>
      </c>
      <c r="B40">
        <f t="shared" si="0"/>
        <v>6.2060909583333337E-2</v>
      </c>
      <c r="C40">
        <f t="shared" si="1"/>
        <v>3.2150874394526055E-3</v>
      </c>
      <c r="D40">
        <f>Table3[[#This Row],[RAW]]/Table3[[#This Row],[Recovery]]</f>
        <v>0.15590667413314319</v>
      </c>
      <c r="E40">
        <f t="shared" si="2"/>
        <v>3.5361309016666669E-2</v>
      </c>
      <c r="F40">
        <f t="shared" si="3"/>
        <v>8.5820711452842327E-3</v>
      </c>
      <c r="G40">
        <f>Table3[[#This Row],[PE RAW]]/Table3[[#This Row],[Recovery]]</f>
        <v>8.8833117638729864E-2</v>
      </c>
      <c r="H40">
        <f t="shared" si="4"/>
        <v>6.3886619999999989E-3</v>
      </c>
      <c r="I40">
        <f t="shared" si="5"/>
        <v>3.0305108489404891E-4</v>
      </c>
      <c r="J40">
        <f>Table3[[#This Row],[PESWE ]]/Table3[[#This Row],[Recovery]]</f>
        <v>1.6049314315049665E-2</v>
      </c>
      <c r="K40">
        <f t="shared" si="6"/>
        <v>3.5551960350000002E-2</v>
      </c>
      <c r="L40">
        <f t="shared" si="7"/>
        <v>3.9100410769749537E-3</v>
      </c>
      <c r="M40">
        <v>8.931206349206347E-2</v>
      </c>
      <c r="N40">
        <f t="shared" si="8"/>
        <v>4.2944258151878988E-2</v>
      </c>
      <c r="O40" s="5">
        <f>Table3[[#This Row],[AA H]]/Table3[[#This Row],[AA STD]]</f>
        <v>0.39806448266822603</v>
      </c>
    </row>
    <row r="41" spans="1:15" x14ac:dyDescent="0.3">
      <c r="A41" s="13" t="s">
        <v>13</v>
      </c>
      <c r="B41">
        <f t="shared" si="0"/>
        <v>0.30757609119999996</v>
      </c>
      <c r="C41">
        <f t="shared" si="1"/>
        <v>3.3587093645926325E-2</v>
      </c>
      <c r="D41">
        <f>Table3[[#This Row],[RAW]]/Table3[[#This Row],[Recovery]]</f>
        <v>2.2829285956301364</v>
      </c>
      <c r="E41">
        <f t="shared" si="2"/>
        <v>0.51526354783333328</v>
      </c>
      <c r="F41">
        <f t="shared" si="3"/>
        <v>0.10489199004309054</v>
      </c>
      <c r="G41">
        <f>Table3[[#This Row],[PE RAW]]/Table3[[#This Row],[Recovery]]</f>
        <v>3.8244516439662504</v>
      </c>
      <c r="H41">
        <f t="shared" si="4"/>
        <v>0.38126976538333335</v>
      </c>
      <c r="I41">
        <f t="shared" si="5"/>
        <v>2.215100291590423E-2</v>
      </c>
      <c r="J41">
        <f>Table3[[#This Row],[PESWE ]]/Table3[[#This Row],[Recovery]]</f>
        <v>2.8299067285981718</v>
      </c>
      <c r="K41">
        <f t="shared" si="6"/>
        <v>6.6584404700000002E-2</v>
      </c>
      <c r="L41">
        <f t="shared" si="7"/>
        <v>6.8709008974287642E-3</v>
      </c>
      <c r="M41">
        <f>AVERAGE(AC17:AE17)/1000000</f>
        <v>0.49421085013333338</v>
      </c>
      <c r="N41">
        <f t="shared" si="8"/>
        <v>0.11124506696051598</v>
      </c>
      <c r="O41" s="5">
        <f>Table3[[#This Row],[AA H]]/Table3[[#This Row],[AA STD]]</f>
        <v>0.13472873912427491</v>
      </c>
    </row>
    <row r="42" spans="1:15" x14ac:dyDescent="0.3">
      <c r="A42" s="7" t="s">
        <v>14</v>
      </c>
      <c r="B42" s="8">
        <f t="shared" si="0"/>
        <v>4.1855074483333338E-2</v>
      </c>
      <c r="C42" s="8">
        <f t="shared" si="1"/>
        <v>2.0471685809301731E-3</v>
      </c>
      <c r="D42" s="8" t="e">
        <f>Table3[[#This Row],[RAW]]/Table3[[#This Row],[Recovery]]</f>
        <v>#DIV/0!</v>
      </c>
      <c r="E42" s="8">
        <f>AVERAGE(K18:P18)/1000000</f>
        <v>9.5922657466666658E-2</v>
      </c>
      <c r="F42" s="8">
        <f t="shared" si="3"/>
        <v>9.3280160232136772E-3</v>
      </c>
      <c r="G42" s="8" t="e">
        <f>Table3[[#This Row],[PE RAW]]/Table3[[#This Row],[Recovery]]</f>
        <v>#DIV/0!</v>
      </c>
      <c r="H42" s="8">
        <f t="shared" si="4"/>
        <v>8.872774768333333E-2</v>
      </c>
      <c r="I42" s="8">
        <f t="shared" si="5"/>
        <v>2.7666265649784389E-3</v>
      </c>
      <c r="J42" s="8" t="e">
        <f>Table3[[#This Row],[PESWE ]]/Table3[[#This Row],[Recovery]]</f>
        <v>#DIV/0!</v>
      </c>
      <c r="K42" s="8">
        <f t="shared" si="6"/>
        <v>2.9464817333333337E-3</v>
      </c>
      <c r="L42" s="8">
        <f t="shared" si="7"/>
        <v>8.1928720431156902E-5</v>
      </c>
      <c r="M42" s="8"/>
      <c r="N42" s="8">
        <f t="shared" si="8"/>
        <v>4.2484954101422348E-6</v>
      </c>
      <c r="O42" s="15" t="e">
        <f>Table3[[#This Row],[AA H]]/Table3[[#This Row],[AA STD]]</f>
        <v>#DIV/0!</v>
      </c>
    </row>
    <row r="43" spans="1:15" x14ac:dyDescent="0.3">
      <c r="A43" s="7" t="s">
        <v>27</v>
      </c>
      <c r="B43" s="8">
        <f t="shared" si="0"/>
        <v>0.63536184866666667</v>
      </c>
      <c r="C43" s="8">
        <f>STDEV(B19:D19,H19:J19)/1000000</f>
        <v>0.12531101107799955</v>
      </c>
      <c r="D43" s="8">
        <f>Table3[[#This Row],[RAW]]/Table3[[#This Row],[Recovery]]</f>
        <v>2.1626785394258858</v>
      </c>
      <c r="E43" s="8">
        <f t="shared" si="2"/>
        <v>1.1602319394833331</v>
      </c>
      <c r="F43" s="8">
        <f t="shared" si="3"/>
        <v>0.60644221799556075</v>
      </c>
      <c r="G43" s="8">
        <f>Table3[[#This Row],[PE RAW]]/Table3[[#This Row],[Recovery]]</f>
        <v>3.9492593418109014</v>
      </c>
      <c r="H43" s="8">
        <f t="shared" si="4"/>
        <v>8.1193777133333339E-2</v>
      </c>
      <c r="I43" s="8">
        <f t="shared" si="5"/>
        <v>1.36551986571958E-2</v>
      </c>
      <c r="J43" s="8">
        <f>Table3[[#This Row],[PESWE ]]/Table3[[#This Row],[Recovery]]</f>
        <v>0.27637170804272215</v>
      </c>
      <c r="K43" s="8">
        <f t="shared" si="6"/>
        <v>2.0047914016666668E-2</v>
      </c>
      <c r="L43" s="8">
        <f t="shared" si="7"/>
        <v>5.056413939954897E-3</v>
      </c>
      <c r="M43" s="8">
        <v>6.824015873015872E-2</v>
      </c>
      <c r="N43" s="8">
        <f t="shared" si="8"/>
        <v>1.3841535907137645E-2</v>
      </c>
      <c r="O43" s="15">
        <f>Table3[[#This Row],[AA H]]/Table3[[#This Row],[AA STD]]</f>
        <v>0.29378469203071328</v>
      </c>
    </row>
    <row r="44" spans="1:15" x14ac:dyDescent="0.3">
      <c r="A44" s="7" t="s">
        <v>28</v>
      </c>
      <c r="B44" s="8">
        <f t="shared" si="0"/>
        <v>0.10280198606666667</v>
      </c>
      <c r="C44" s="8">
        <f>STDEV(B20:D20,H20:J20)/1000000</f>
        <v>3.2280819958641148E-2</v>
      </c>
      <c r="D44" s="8">
        <f>Table3[[#This Row],[RAW]]/Table3[[#This Row],[Recovery]]</f>
        <v>0.38386991582761126</v>
      </c>
      <c r="E44" s="8">
        <f t="shared" si="2"/>
        <v>0.11056644060000001</v>
      </c>
      <c r="F44" s="8">
        <f t="shared" si="3"/>
        <v>2.1112106292470765E-2</v>
      </c>
      <c r="G44" s="8">
        <f>Table3[[#This Row],[PE RAW]]/Table3[[#This Row],[Recovery]]</f>
        <v>0.41286294040035754</v>
      </c>
      <c r="H44" s="8">
        <f t="shared" si="4"/>
        <v>6.7828814433333329E-2</v>
      </c>
      <c r="I44" s="8">
        <f t="shared" si="5"/>
        <v>5.2286256491559354E-3</v>
      </c>
      <c r="J44" s="8">
        <f>Table3[[#This Row],[PESWE ]]/Table3[[#This Row],[Recovery]]</f>
        <v>0.2532776095427296</v>
      </c>
      <c r="K44" s="8">
        <f t="shared" si="6"/>
        <v>2.1309394883333329E-2</v>
      </c>
      <c r="L44" s="8">
        <f t="shared" si="7"/>
        <v>1.5237692245993915E-3</v>
      </c>
      <c r="M44" s="8">
        <v>7.9570793650793628E-2</v>
      </c>
      <c r="N44" s="8">
        <f t="shared" si="8"/>
        <v>4.3277433312900598E-2</v>
      </c>
      <c r="O44" s="15">
        <f>Table3[[#This Row],[AA H]]/Table3[[#This Row],[AA STD]]</f>
        <v>0.26780422697368422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3"/>
  <sheetViews>
    <sheetView topLeftCell="D1" zoomScale="59" zoomScaleNormal="59" workbookViewId="0">
      <selection activeCell="L22" sqref="L22"/>
    </sheetView>
  </sheetViews>
  <sheetFormatPr defaultRowHeight="14.4" x14ac:dyDescent="0.3"/>
  <cols>
    <col min="1" max="1" width="13.88671875" bestFit="1" customWidth="1"/>
    <col min="2" max="2" width="17.88671875" customWidth="1"/>
    <col min="3" max="3" width="16.44140625" customWidth="1"/>
    <col min="4" max="4" width="11.44140625" customWidth="1"/>
    <col min="5" max="5" width="13.109375" customWidth="1"/>
    <col min="6" max="6" width="15.33203125" customWidth="1"/>
    <col min="7" max="7" width="9.44140625" customWidth="1"/>
    <col min="8" max="11" width="8.88671875" customWidth="1"/>
    <col min="12" max="12" width="16.88671875" customWidth="1"/>
    <col min="13" max="13" width="25" customWidth="1"/>
    <col min="14" max="14" width="15.109375" customWidth="1"/>
    <col min="15" max="15" width="14.6640625" bestFit="1" customWidth="1"/>
    <col min="17" max="17" width="29.6640625" customWidth="1"/>
    <col min="18" max="18" width="12.44140625" customWidth="1"/>
    <col min="19" max="19" width="25.5546875" bestFit="1" customWidth="1"/>
    <col min="21" max="22" width="29.6640625" bestFit="1" customWidth="1"/>
  </cols>
  <sheetData>
    <row r="1" spans="1:21" x14ac:dyDescent="0.3">
      <c r="A1" t="s">
        <v>29</v>
      </c>
      <c r="B1" t="s">
        <v>77</v>
      </c>
      <c r="C1" t="s">
        <v>30</v>
      </c>
      <c r="D1" t="s">
        <v>78</v>
      </c>
      <c r="E1" t="s">
        <v>72</v>
      </c>
      <c r="F1" t="s">
        <v>80</v>
      </c>
      <c r="G1" t="s">
        <v>79</v>
      </c>
      <c r="H1" t="str">
        <f>'RAW DATA'!M27</f>
        <v>AA STD</v>
      </c>
      <c r="J1" t="s">
        <v>69</v>
      </c>
      <c r="K1" t="s">
        <v>141</v>
      </c>
      <c r="L1" t="s">
        <v>146</v>
      </c>
      <c r="M1" s="52" t="s">
        <v>143</v>
      </c>
      <c r="N1" t="s">
        <v>142</v>
      </c>
      <c r="O1" s="2" t="s">
        <v>127</v>
      </c>
      <c r="P1" t="s">
        <v>142</v>
      </c>
    </row>
    <row r="2" spans="1:21" x14ac:dyDescent="0.3">
      <c r="A2" t="s">
        <v>0</v>
      </c>
      <c r="B2">
        <v>2.5000000000000001E-3</v>
      </c>
      <c r="C2">
        <v>165.2</v>
      </c>
      <c r="D2">
        <f>C2*B2</f>
        <v>0.41299999999999998</v>
      </c>
      <c r="E2">
        <f>Table2[[#This Row],[g/L]]</f>
        <v>0.41299999999999998</v>
      </c>
      <c r="F2">
        <f>Table2[[#This Row],[mg/ml]]*AVERAGE([1]Balance!$C$10:$C$11)/AVERAGE([1]Balance!$B$10:$B$11)</f>
        <v>4.2348888888888876</v>
      </c>
      <c r="G2">
        <f>Table2[[#This Row],[expected mg/ g]]/50</f>
        <v>8.4697777777777747E-2</v>
      </c>
      <c r="H2">
        <f>'RAW DATA'!M28</f>
        <v>8.4697777777777747E-2</v>
      </c>
      <c r="I2">
        <f>H2/Table2[[#This Row],[mg/ml]]</f>
        <v>0.20507936507936503</v>
      </c>
      <c r="J2">
        <f>(H2*100)/Table2[[#This Row],[Mw (g/mol)]]</f>
        <v>5.1269841269841257E-2</v>
      </c>
      <c r="K2" s="21">
        <v>1</v>
      </c>
      <c r="L2" s="19">
        <f>(14*K2)/Table2[[#This Row],[Mw (g/mol)]]</f>
        <v>8.4745762711864417E-2</v>
      </c>
      <c r="M2" s="55">
        <f>Table47[[#This Row],[Raw mg/ g SCG]]*[2]averages!$J$16</f>
        <v>10.492451958693913</v>
      </c>
      <c r="N2" s="57">
        <f>M2*L2</f>
        <v>0.88919084395711134</v>
      </c>
      <c r="O2" s="3">
        <f>Table47[[#This Row],[PP PE RAW mg/ g PESCG]]*[3]Proximate!$B$17</f>
        <v>16.822245765428168</v>
      </c>
      <c r="P2" s="57">
        <f>L2*O2</f>
        <v>1.4256140479176416</v>
      </c>
      <c r="U2" s="20"/>
    </row>
    <row r="3" spans="1:21" x14ac:dyDescent="0.3">
      <c r="A3" t="s">
        <v>68</v>
      </c>
      <c r="B3">
        <v>2.5000000000000001E-3</v>
      </c>
      <c r="C3">
        <v>131.19999999999999</v>
      </c>
      <c r="D3">
        <f>C3*B3</f>
        <v>0.32799999999999996</v>
      </c>
      <c r="E3">
        <f>Table2[[#This Row],[g/L]]</f>
        <v>0.32799999999999996</v>
      </c>
      <c r="F3">
        <f>Table2[[#This Row],[mg/ml]]*AVERAGE([1]Balance!$C$10:$C$11)/AVERAGE([1]Balance!$B$10:$B$11)</f>
        <v>3.3633015873015863</v>
      </c>
      <c r="G3">
        <f>Table2[[#This Row],[expected mg/ g]]/50</f>
        <v>6.7266031746031726E-2</v>
      </c>
      <c r="H3">
        <f>'RAW DATA'!M29</f>
        <v>6.7266031746031726E-2</v>
      </c>
      <c r="I3">
        <f>H3/Table2[[#This Row],[mg/ml]]</f>
        <v>0.20507936507936506</v>
      </c>
      <c r="J3">
        <f>(H3*100)/Table2[[#This Row],[Mw (g/mol)]]</f>
        <v>5.1269841269841257E-2</v>
      </c>
      <c r="K3" s="21">
        <v>1</v>
      </c>
      <c r="L3" s="19">
        <f>(14*K3)/Table2[[#This Row],[Mw (g/mol)]]</f>
        <v>0.10670731707317074</v>
      </c>
      <c r="M3" s="56">
        <f>Table47[[#This Row],[Raw mg/ g SCG]]*[2]averages!$J$16</f>
        <v>13.665736178547915</v>
      </c>
      <c r="N3" s="57">
        <f t="shared" ref="N3:N18" si="0">M3*L3</f>
        <v>1.4582340434426131</v>
      </c>
      <c r="O3" s="4">
        <f>Table47[[#This Row],[PP PE RAW mg/ g PESCG]]*[3]Proximate!$B$17</f>
        <v>18.77805980847122</v>
      </c>
      <c r="P3" s="57">
        <f>L3*O3</f>
        <v>2.0037563820015025</v>
      </c>
      <c r="U3" s="20"/>
    </row>
    <row r="4" spans="1:21" x14ac:dyDescent="0.3">
      <c r="A4" t="s">
        <v>3</v>
      </c>
      <c r="B4">
        <v>2.5000000000000001E-3</v>
      </c>
      <c r="C4">
        <v>131.19999999999999</v>
      </c>
      <c r="D4">
        <f t="shared" ref="D4:D18" si="1">C4*B4</f>
        <v>0.32799999999999996</v>
      </c>
      <c r="E4">
        <f>Table2[[#This Row],[g/L]]</f>
        <v>0.32799999999999996</v>
      </c>
      <c r="F4">
        <f>Table2[[#This Row],[mg/ml]]*AVERAGE([1]Balance!$C$10:$C$11)/AVERAGE([1]Balance!$B$10:$B$11)</f>
        <v>3.3633015873015863</v>
      </c>
      <c r="G4">
        <f>Table2[[#This Row],[expected mg/ g]]/50</f>
        <v>6.7266031746031726E-2</v>
      </c>
      <c r="H4" t="e">
        <f>'RAW DATA'!#REF!</f>
        <v>#REF!</v>
      </c>
      <c r="I4" t="e">
        <f>H4/Table2[[#This Row],[mg/ml]]</f>
        <v>#REF!</v>
      </c>
      <c r="J4" t="e">
        <f>(H4*100)/Table2[[#This Row],[Mw (g/mol)]]</f>
        <v>#REF!</v>
      </c>
      <c r="K4" s="21">
        <v>1</v>
      </c>
      <c r="L4" s="19">
        <f>(14*K4)/Table2[[#This Row],[Mw (g/mol)]]</f>
        <v>0.10670731707317074</v>
      </c>
      <c r="M4" s="55">
        <f>Table47[[#This Row],[Raw mg/ g SCG]]*[2]averages!$J$16</f>
        <v>9.6447639464408024</v>
      </c>
      <c r="N4" s="57">
        <f t="shared" si="0"/>
        <v>1.0291668845287443</v>
      </c>
      <c r="O4" s="3">
        <f>Table47[[#This Row],[PP PE RAW mg/ g PESCG]]*[3]Proximate!$B$17</f>
        <v>15.455907127466174</v>
      </c>
      <c r="P4" s="57">
        <f>L4*O4</f>
        <v>1.6492583825040126</v>
      </c>
      <c r="U4" s="20"/>
    </row>
    <row r="5" spans="1:21" x14ac:dyDescent="0.3">
      <c r="A5" t="s">
        <v>4</v>
      </c>
      <c r="B5">
        <v>2.5000000000000001E-3</v>
      </c>
      <c r="C5">
        <v>149.19999999999999</v>
      </c>
      <c r="D5">
        <f t="shared" si="1"/>
        <v>0.373</v>
      </c>
      <c r="E5">
        <f>Table2[[#This Row],[g/L]]</f>
        <v>0.373</v>
      </c>
      <c r="F5">
        <f>Table2[[#This Row],[mg/ml]]*AVERAGE([1]Balance!$C$10:$C$11)/AVERAGE([1]Balance!$B$10:$B$11)</f>
        <v>3.8247301587301585</v>
      </c>
      <c r="G5">
        <f>Table2[[#This Row],[expected mg/ g]]/50</f>
        <v>7.6494603174603173E-2</v>
      </c>
      <c r="H5">
        <f>'RAW DATA'!M30</f>
        <v>6.7266031746031726E-2</v>
      </c>
      <c r="I5">
        <f>H5/Table2[[#This Row],[mg/ml]]</f>
        <v>0.18033788671858372</v>
      </c>
      <c r="J5">
        <f>(H5*100)/Table2[[#This Row],[Mw (g/mol)]]</f>
        <v>4.5084471679645931E-2</v>
      </c>
      <c r="K5" s="21">
        <v>1</v>
      </c>
      <c r="L5" s="19">
        <f>(14*K5)/Table2[[#This Row],[Mw (g/mol)]]</f>
        <v>9.3833780160857916E-2</v>
      </c>
      <c r="M5" s="56">
        <f>Table47[[#This Row],[Raw mg/ g SCG]]*[2]averages!$J$16</f>
        <v>2.0919541561081729</v>
      </c>
      <c r="N5" s="57">
        <f t="shared" si="0"/>
        <v>0.19629596639084734</v>
      </c>
      <c r="O5" s="4">
        <f>Table47[[#This Row],[PP PE RAW mg/ g PESCG]]*[3]Proximate!$B$17</f>
        <v>2.4530383490084597</v>
      </c>
      <c r="P5" s="57">
        <f>L5*O5</f>
        <v>0.23017786116701366</v>
      </c>
      <c r="U5" s="20"/>
    </row>
    <row r="6" spans="1:21" x14ac:dyDescent="0.3">
      <c r="A6" t="s">
        <v>5</v>
      </c>
      <c r="B6">
        <v>2.5000000000000001E-3</v>
      </c>
      <c r="C6">
        <v>117.2</v>
      </c>
      <c r="D6">
        <f t="shared" si="1"/>
        <v>0.29300000000000004</v>
      </c>
      <c r="E6">
        <f>Table2[[#This Row],[g/L]]</f>
        <v>0.29300000000000004</v>
      </c>
      <c r="F6">
        <f>Table2[[#This Row],[mg/ml]]*AVERAGE([1]Balance!$C$10:$C$11)/AVERAGE([1]Balance!$B$10:$B$11)</f>
        <v>3.0044126984126982</v>
      </c>
      <c r="G6">
        <f>Table2[[#This Row],[expected mg/ g]]/50</f>
        <v>6.0088253968253964E-2</v>
      </c>
      <c r="H6">
        <f>'RAW DATA'!M31</f>
        <v>7.6494603174603173E-2</v>
      </c>
      <c r="I6">
        <f>H6/Table2[[#This Row],[mg/ml]]</f>
        <v>0.26107373097134184</v>
      </c>
      <c r="J6">
        <f>(H6*100)/Table2[[#This Row],[Mw (g/mol)]]</f>
        <v>6.5268432742835475E-2</v>
      </c>
      <c r="K6" s="21">
        <v>1</v>
      </c>
      <c r="L6" s="19">
        <f>(14*K6)/Table2[[#This Row],[Mw (g/mol)]]</f>
        <v>0.11945392491467577</v>
      </c>
      <c r="M6" s="55">
        <f>Table47[[#This Row],[Raw mg/ g SCG]]*[2]averages!$J$16</f>
        <v>17.03602435378437</v>
      </c>
      <c r="N6" s="57">
        <f t="shared" si="0"/>
        <v>2.0350199740015458</v>
      </c>
      <c r="O6" s="3">
        <f>Table47[[#This Row],[PP PE RAW mg/ g PESCG]]*[3]Proximate!$B$17</f>
        <v>28.178177751367329</v>
      </c>
      <c r="P6" s="57">
        <f>L6*O6</f>
        <v>3.3659939293442203</v>
      </c>
      <c r="U6" s="20"/>
    </row>
    <row r="7" spans="1:21" x14ac:dyDescent="0.3">
      <c r="A7" t="s">
        <v>6</v>
      </c>
      <c r="B7">
        <v>2.5000000000000001E-3</v>
      </c>
      <c r="C7">
        <v>115.1</v>
      </c>
      <c r="D7">
        <f t="shared" si="1"/>
        <v>0.28775000000000001</v>
      </c>
      <c r="E7">
        <f>Table2[[#This Row],[g/L]]</f>
        <v>0.28775000000000001</v>
      </c>
      <c r="F7">
        <f>Table2[[#This Row],[mg/ml]]*AVERAGE([1]Balance!$C$10:$C$11)/AVERAGE([1]Balance!$B$10:$B$11)</f>
        <v>2.9505793650793648</v>
      </c>
      <c r="G7">
        <f>Table2[[#This Row],[expected mg/ g]]/50</f>
        <v>5.9011587301587294E-2</v>
      </c>
      <c r="H7">
        <f>'RAW DATA'!M32</f>
        <v>6.0088253968253964E-2</v>
      </c>
      <c r="I7">
        <f>H7/Table2[[#This Row],[mg/ml]]</f>
        <v>0.20882103898611282</v>
      </c>
      <c r="J7">
        <f>(H7*100)/Table2[[#This Row],[Mw (g/mol)]]</f>
        <v>5.2205259746528204E-2</v>
      </c>
      <c r="K7" s="21">
        <v>1</v>
      </c>
      <c r="L7" s="19">
        <f>(14*K7)/Table2[[#This Row],[Mw (g/mol)]]</f>
        <v>0.12163336229365769</v>
      </c>
      <c r="M7" s="56">
        <f>Table47[[#This Row],[Raw mg/ g SCG]]*[2]averages!$J$16</f>
        <v>11.290849621954116</v>
      </c>
      <c r="N7" s="57">
        <f t="shared" si="0"/>
        <v>1.3733440026703529</v>
      </c>
      <c r="O7" s="4">
        <f>Table47[[#This Row],[PP PE RAW mg/ g PESCG]]*[3]Proximate!$B$17</f>
        <v>14.116792045535256</v>
      </c>
      <c r="P7" s="57">
        <f>L7*O7</f>
        <v>1.7170728812988147</v>
      </c>
      <c r="U7" s="20"/>
    </row>
    <row r="8" spans="1:21" x14ac:dyDescent="0.3">
      <c r="A8" t="s">
        <v>7</v>
      </c>
      <c r="B8">
        <v>2.5000000000000001E-3</v>
      </c>
      <c r="C8">
        <v>181.2</v>
      </c>
      <c r="D8">
        <f t="shared" si="1"/>
        <v>0.45299999999999996</v>
      </c>
      <c r="E8">
        <f>Table2[[#This Row],[g/L]]</f>
        <v>0.45299999999999996</v>
      </c>
      <c r="F8">
        <f>Table2[[#This Row],[mg/ml]]*AVERAGE([1]Balance!$C$10:$C$11)/AVERAGE([1]Balance!$B$10:$B$11)</f>
        <v>4.6450476190476184</v>
      </c>
      <c r="G8">
        <f>Table2[[#This Row],[expected mg/ g]]/50</f>
        <v>9.2900952380952362E-2</v>
      </c>
      <c r="H8">
        <f>'RAW DATA'!M33</f>
        <v>5.9011587301587294E-2</v>
      </c>
      <c r="I8">
        <f>H8/Table2[[#This Row],[mg/ml]]</f>
        <v>0.13026840463926556</v>
      </c>
      <c r="J8">
        <f>(H8*100)/Table2[[#This Row],[Mw (g/mol)]]</f>
        <v>3.256710115981639E-2</v>
      </c>
      <c r="K8" s="21">
        <v>1</v>
      </c>
      <c r="L8" s="19">
        <f>(14*K8)/Table2[[#This Row],[Mw (g/mol)]]</f>
        <v>7.7262693156732898E-2</v>
      </c>
      <c r="M8" s="55">
        <f>Table47[[#This Row],[Raw mg/ g SCG]]*[2]averages!$J$16</f>
        <v>4.5074743053759008</v>
      </c>
      <c r="N8" s="57">
        <f t="shared" si="0"/>
        <v>0.34825960416811597</v>
      </c>
      <c r="O8" s="3">
        <f>Table47[[#This Row],[PP PE RAW mg/ g PESCG]]*[3]Proximate!$B$17</f>
        <v>13.935892800401602</v>
      </c>
      <c r="P8" s="57">
        <f>L8*O8</f>
        <v>1.0767246093025522</v>
      </c>
      <c r="U8" s="20"/>
    </row>
    <row r="9" spans="1:21" x14ac:dyDescent="0.3">
      <c r="A9" t="s">
        <v>8</v>
      </c>
      <c r="B9">
        <v>2.5000000000000001E-3</v>
      </c>
      <c r="C9">
        <v>89.09</v>
      </c>
      <c r="D9">
        <f t="shared" si="1"/>
        <v>0.22272500000000001</v>
      </c>
      <c r="E9">
        <f>Table2[[#This Row],[g/L]]</f>
        <v>0.22272500000000001</v>
      </c>
      <c r="F9">
        <f>Table2[[#This Row],[mg/ml]]*AVERAGE([1]Balance!$C$10:$C$11)/AVERAGE([1]Balance!$B$10:$B$11)</f>
        <v>2.2838150793650791</v>
      </c>
      <c r="G9">
        <f>Table2[[#This Row],[expected mg/ g]]/50</f>
        <v>4.5676301587301585E-2</v>
      </c>
      <c r="H9">
        <f>'RAW DATA'!M34</f>
        <v>9.2900952380952362E-2</v>
      </c>
      <c r="I9">
        <f>H9/Table2[[#This Row],[mg/ml]]</f>
        <v>0.41711057304277632</v>
      </c>
      <c r="J9">
        <f>(H9*100)/Table2[[#This Row],[Mw (g/mol)]]</f>
        <v>0.10427764326069409</v>
      </c>
      <c r="K9" s="21">
        <v>1</v>
      </c>
      <c r="L9" s="19">
        <f>(14*K9)/Table2[[#This Row],[Mw (g/mol)]]</f>
        <v>0.1571444606577618</v>
      </c>
      <c r="M9" s="56">
        <f>Table47[[#This Row],[Raw mg/ g SCG]]*[2]averages!$J$16</f>
        <v>11.955715708359422</v>
      </c>
      <c r="N9" s="57">
        <f t="shared" si="0"/>
        <v>1.8787744967676721</v>
      </c>
      <c r="O9" s="4">
        <f>Table47[[#This Row],[PP PE RAW mg/ g PESCG]]*[3]Proximate!$B$17</f>
        <v>15.162038138521867</v>
      </c>
      <c r="P9" s="57">
        <f>L9*O9</f>
        <v>2.3826303057504337</v>
      </c>
      <c r="U9" s="20"/>
    </row>
    <row r="10" spans="1:21" x14ac:dyDescent="0.3">
      <c r="A10" t="s">
        <v>9</v>
      </c>
      <c r="B10">
        <v>2.5000000000000001E-3</v>
      </c>
      <c r="C10">
        <v>119.1</v>
      </c>
      <c r="D10">
        <f t="shared" si="1"/>
        <v>0.29775000000000001</v>
      </c>
      <c r="E10">
        <f>Table2[[#This Row],[g/L]]</f>
        <v>0.29775000000000001</v>
      </c>
      <c r="F10">
        <f>Table2[[#This Row],[mg/ml]]*AVERAGE([1]Balance!$C$10:$C$11)/AVERAGE([1]Balance!$B$10:$B$11)</f>
        <v>3.0531190476190471</v>
      </c>
      <c r="G10">
        <f>Table2[[#This Row],[expected mg/ g]]/50</f>
        <v>6.1062380952380944E-2</v>
      </c>
      <c r="H10">
        <f>'RAW DATA'!M35</f>
        <v>4.5676301587301585E-2</v>
      </c>
      <c r="I10">
        <f>H10/Table2[[#This Row],[mg/ml]]</f>
        <v>0.15340487518825049</v>
      </c>
      <c r="J10">
        <f>(H10*100)/Table2[[#This Row],[Mw (g/mol)]]</f>
        <v>3.8351218797062624E-2</v>
      </c>
      <c r="K10" s="21">
        <v>1</v>
      </c>
      <c r="L10" s="19">
        <f>(14*K10)/Table2[[#This Row],[Mw (g/mol)]]</f>
        <v>0.11754827875734677</v>
      </c>
      <c r="M10" s="55">
        <f>Table47[[#This Row],[Raw mg/ g SCG]]*[2]averages!$J$16</f>
        <v>10.049049321419268</v>
      </c>
      <c r="N10" s="57">
        <f t="shared" si="0"/>
        <v>1.1812484508805186</v>
      </c>
      <c r="O10" s="3">
        <f>Table47[[#This Row],[PP PE RAW mg/ g PESCG]]*[3]Proximate!$B$17</f>
        <v>1.7142287115359822</v>
      </c>
      <c r="P10" s="57">
        <f>L10*O10</f>
        <v>0.20150463443747904</v>
      </c>
      <c r="U10" s="20"/>
    </row>
    <row r="11" spans="1:21" x14ac:dyDescent="0.3">
      <c r="A11" t="s">
        <v>10</v>
      </c>
      <c r="B11">
        <v>2.5000000000000001E-3</v>
      </c>
      <c r="C11">
        <v>75.069999999999993</v>
      </c>
      <c r="D11">
        <f t="shared" si="1"/>
        <v>0.18767499999999998</v>
      </c>
      <c r="E11">
        <f>Table2[[#This Row],[g/L]]</f>
        <v>0.18767499999999998</v>
      </c>
      <c r="F11">
        <f>Table2[[#This Row],[mg/ml]]*AVERAGE([1]Balance!$C$10:$C$11)/AVERAGE([1]Balance!$B$10:$B$11)</f>
        <v>1.9244134920634917</v>
      </c>
      <c r="G11">
        <f>Table2[[#This Row],[expected mg/ g]]/50</f>
        <v>3.848826984126983E-2</v>
      </c>
      <c r="H11">
        <f>'RAW DATA'!M36</f>
        <v>6.1062380952380944E-2</v>
      </c>
      <c r="I11">
        <f>H11/Table2[[#This Row],[mg/ml]]</f>
        <v>0.32536236020983589</v>
      </c>
      <c r="J11">
        <f>(H11*100)/Table2[[#This Row],[Mw (g/mol)]]</f>
        <v>8.1340590052458972E-2</v>
      </c>
      <c r="K11" s="21">
        <v>1</v>
      </c>
      <c r="L11" s="19">
        <f>(14*K11)/Table2[[#This Row],[Mw (g/mol)]]</f>
        <v>0.18649260690022648</v>
      </c>
      <c r="M11" s="56">
        <f>Table47[[#This Row],[Raw mg/ g SCG]]*[2]averages!$J$16</f>
        <v>11.236557960137292</v>
      </c>
      <c r="N11" s="57">
        <f t="shared" si="0"/>
        <v>2.0955349865714945</v>
      </c>
      <c r="O11" s="4">
        <f>Table47[[#This Row],[PP PE RAW mg/ g PESCG]]*[3]Proximate!$B$17</f>
        <v>10.81875504967409</v>
      </c>
      <c r="P11" s="57">
        <f>L11*O11</f>
        <v>2.0176178326287104</v>
      </c>
      <c r="U11" s="20"/>
    </row>
    <row r="12" spans="1:21" x14ac:dyDescent="0.3">
      <c r="A12" t="s">
        <v>26</v>
      </c>
      <c r="B12">
        <v>2.5000000000000001E-3</v>
      </c>
      <c r="C12">
        <v>147.1</v>
      </c>
      <c r="D12">
        <f t="shared" si="1"/>
        <v>0.36774999999999997</v>
      </c>
      <c r="E12">
        <f>Table2[[#This Row],[g/L]]</f>
        <v>0.36774999999999997</v>
      </c>
      <c r="F12">
        <f>Table2[[#This Row],[mg/ml]]*AVERAGE([1]Balance!$C$10:$C$11)/AVERAGE([1]Balance!$B$10:$B$11)</f>
        <v>3.7708968253968242</v>
      </c>
      <c r="G12">
        <f>Table2[[#This Row],[expected mg/ g]]/50</f>
        <v>7.5417936507936489E-2</v>
      </c>
      <c r="H12">
        <f>'RAW DATA'!M37</f>
        <v>3.848826984126983E-2</v>
      </c>
      <c r="I12">
        <f>H12/Table2[[#This Row],[mg/ml]]</f>
        <v>0.10465878950719193</v>
      </c>
      <c r="J12">
        <f>(H12*100)/Table2[[#This Row],[Mw (g/mol)]]</f>
        <v>2.6164697376797982E-2</v>
      </c>
      <c r="K12" s="21">
        <v>1</v>
      </c>
      <c r="L12" s="19">
        <f>(14*K12)/Table2[[#This Row],[Mw (g/mol)]]</f>
        <v>9.5173351461590755E-2</v>
      </c>
      <c r="M12" s="55">
        <f>Table47[[#This Row],[Raw mg/ g SCG]]*[2]averages!$J$16</f>
        <v>54.325567166466904</v>
      </c>
      <c r="N12" s="57">
        <f t="shared" si="0"/>
        <v>5.1703462972844099</v>
      </c>
      <c r="O12" s="3">
        <f>Table47[[#This Row],[PP PE RAW mg/ g PESCG]]*[3]Proximate!$B$17</f>
        <v>96.05754824704519</v>
      </c>
      <c r="P12" s="57">
        <f>L12*O12</f>
        <v>9.1421187998547424</v>
      </c>
      <c r="U12" s="20"/>
    </row>
    <row r="13" spans="1:21" x14ac:dyDescent="0.3">
      <c r="A13" t="s">
        <v>11</v>
      </c>
      <c r="B13">
        <v>2.5000000000000001E-3</v>
      </c>
      <c r="C13">
        <v>105.1</v>
      </c>
      <c r="D13">
        <f t="shared" si="1"/>
        <v>0.26274999999999998</v>
      </c>
      <c r="E13">
        <f>Table2[[#This Row],[g/L]]</f>
        <v>0.26274999999999998</v>
      </c>
      <c r="F13">
        <f>Table2[[#This Row],[mg/ml]]*AVERAGE([1]Balance!$C$10:$C$11)/AVERAGE([1]Balance!$B$10:$B$11)</f>
        <v>2.694230158730158</v>
      </c>
      <c r="G13">
        <f>Table2[[#This Row],[expected mg/ g]]/50</f>
        <v>5.3884603174603161E-2</v>
      </c>
      <c r="H13">
        <f>'RAW DATA'!M38</f>
        <v>7.5417936507936489E-2</v>
      </c>
      <c r="I13">
        <f>H13/Table2[[#This Row],[mg/ml]]</f>
        <v>0.28703305997311701</v>
      </c>
      <c r="J13">
        <f>(H13*100)/Table2[[#This Row],[Mw (g/mol)]]</f>
        <v>7.1758264993279253E-2</v>
      </c>
      <c r="K13" s="21">
        <v>1</v>
      </c>
      <c r="L13" s="19">
        <f>(14*K13)/Table2[[#This Row],[Mw (g/mol)]]</f>
        <v>0.13320647002854424</v>
      </c>
      <c r="M13" s="56">
        <f>Table47[[#This Row],[Raw mg/ g SCG]]*[2]averages!$J$16</f>
        <v>6.8890489140776578</v>
      </c>
      <c r="N13" s="57">
        <f t="shared" si="0"/>
        <v>0.91766588769826085</v>
      </c>
      <c r="O13" s="4">
        <f>Table47[[#This Row],[PP PE RAW mg/ g PESCG]]*[3]Proximate!$B$17</f>
        <v>1.5380911081103577</v>
      </c>
      <c r="P13" s="57">
        <f>L13*O13</f>
        <v>0.20488368709367277</v>
      </c>
      <c r="U13" s="20"/>
    </row>
    <row r="14" spans="1:21" x14ac:dyDescent="0.3">
      <c r="A14" t="s">
        <v>12</v>
      </c>
      <c r="B14">
        <v>2.5000000000000001E-3</v>
      </c>
      <c r="C14">
        <v>174.2</v>
      </c>
      <c r="D14">
        <f t="shared" si="1"/>
        <v>0.4355</v>
      </c>
      <c r="E14">
        <f>Table2[[#This Row],[g/L]]</f>
        <v>0.4355</v>
      </c>
      <c r="F14">
        <f>Table2[[#This Row],[mg/ml]]*AVERAGE([1]Balance!$C$10:$C$11)/AVERAGE([1]Balance!$B$10:$B$11)</f>
        <v>4.4656031746031735</v>
      </c>
      <c r="G14">
        <f>Table2[[#This Row],[expected mg/ g]]/50</f>
        <v>8.931206349206347E-2</v>
      </c>
      <c r="H14">
        <f>'RAW DATA'!M39</f>
        <v>5.3884603174603161E-2</v>
      </c>
      <c r="I14">
        <f>H14/Table2[[#This Row],[mg/ml]]</f>
        <v>0.12373043208864101</v>
      </c>
      <c r="J14">
        <f>(H14*100)/Table2[[#This Row],[Mw (g/mol)]]</f>
        <v>3.0932608022160257E-2</v>
      </c>
      <c r="K14" s="21">
        <v>4</v>
      </c>
      <c r="L14" s="19">
        <f>(14*K14)/Table2[[#This Row],[Mw (g/mol)]]</f>
        <v>0.32146957520091851</v>
      </c>
      <c r="M14" s="55">
        <f>Table47[[#This Row],[Raw mg/ g SCG]]*[2]averages!$J$16</f>
        <v>1.6981794164231778</v>
      </c>
      <c r="N14" s="57">
        <f t="shared" si="0"/>
        <v>0.54591301561250272</v>
      </c>
      <c r="O14" s="3">
        <f>Table47[[#This Row],[PP PE RAW mg/ g PESCG]]*[3]Proximate!$B$17</f>
        <v>0.98092236196275295</v>
      </c>
      <c r="P14" s="57">
        <f>L14*O14</f>
        <v>0.3153366950052478</v>
      </c>
      <c r="U14" s="20"/>
    </row>
    <row r="15" spans="1:21" x14ac:dyDescent="0.3">
      <c r="A15" t="s">
        <v>145</v>
      </c>
      <c r="C15">
        <v>146.19999999999999</v>
      </c>
      <c r="D15" t="e">
        <f>#REF!*B15</f>
        <v>#REF!</v>
      </c>
      <c r="E15" s="9" t="e">
        <f>Table2[[#This Row],[g/L]]</f>
        <v>#REF!</v>
      </c>
      <c r="F15" s="9" t="e">
        <f>Table2[[#This Row],[mg/ml]]*AVERAGE([1]Balance!$C$10:$C$11)/AVERAGE([1]Balance!$B$10:$B$11)</f>
        <v>#REF!</v>
      </c>
      <c r="K15" s="21">
        <v>2</v>
      </c>
      <c r="L15" s="19">
        <f>(14*K15)/Table2[[#This Row],[Mw (g/mol)]]</f>
        <v>0.19151846785225721</v>
      </c>
      <c r="M15" s="55">
        <f>Table47[[#This Row],[Raw mg/ g SCG]]*[2]averages!$J$16</f>
        <v>24.866301406392591</v>
      </c>
      <c r="N15" s="57">
        <f t="shared" si="0"/>
        <v>4.7623559465047371</v>
      </c>
      <c r="O15" s="4">
        <f>Table47[[#This Row],[PP PE RAW mg/ g PESCG]]*[3]Proximate!$B$17</f>
        <v>42.230760774021469</v>
      </c>
      <c r="P15" s="57">
        <f>L15*O15</f>
        <v>8.0879705996757956</v>
      </c>
      <c r="U15" s="20"/>
    </row>
    <row r="16" spans="1:21" x14ac:dyDescent="0.3">
      <c r="A16" t="s">
        <v>144</v>
      </c>
      <c r="B16">
        <v>2.5000000000000001E-3</v>
      </c>
      <c r="C16">
        <v>132.16</v>
      </c>
      <c r="D16">
        <f>C15*B16</f>
        <v>0.36549999999999999</v>
      </c>
      <c r="E16">
        <f>Table2[[#This Row],[g/L]]</f>
        <v>0.36549999999999999</v>
      </c>
      <c r="F16">
        <f>Table2[[#This Row],[mg/ml]]*AVERAGE([1]Balance!$C$10:$C$11)/AVERAGE([1]Balance!$B$10:$B$11)</f>
        <v>3.7478253968253963</v>
      </c>
      <c r="G16">
        <f>Table2[[#This Row],[expected mg/ g]]/50</f>
        <v>7.4956507936507932E-2</v>
      </c>
      <c r="H16">
        <f>'RAW DATA'!M40</f>
        <v>8.931206349206347E-2</v>
      </c>
      <c r="I16">
        <f>H16/Table2[[#This Row],[mg/ml]]</f>
        <v>0.24435585086747871</v>
      </c>
      <c r="J16">
        <f>(H16*100)/Table2[[#This Row],[Mw (g/mol)]]</f>
        <v>6.7578740535762308E-2</v>
      </c>
      <c r="K16" s="21">
        <v>2</v>
      </c>
      <c r="L16" s="19">
        <f>(14*K16)/Table2[[#This Row],[Mw (g/mol)]]</f>
        <v>0.21186440677966104</v>
      </c>
      <c r="M16" s="56">
        <f>Table47[[#This Row],[Raw mg/ g SCG]]*[2]averages!$J$16</f>
        <v>0.45589726261337615</v>
      </c>
      <c r="N16" s="57">
        <f t="shared" si="0"/>
        <v>9.6588403096054279E-2</v>
      </c>
      <c r="O16" s="3">
        <f>Table47[[#This Row],[PP PE RAW mg/ g PESCG]]*[3]Proximate!$B$17</f>
        <v>1.0592072216873745</v>
      </c>
      <c r="P16" s="57">
        <f>L16*O16</f>
        <v>0.22440830967952852</v>
      </c>
      <c r="U16" s="20"/>
    </row>
    <row r="17" spans="1:21" x14ac:dyDescent="0.3">
      <c r="A17" t="s">
        <v>27</v>
      </c>
      <c r="B17">
        <v>2.5000000000000001E-3</v>
      </c>
      <c r="C17">
        <v>133.1</v>
      </c>
      <c r="D17">
        <f t="shared" si="1"/>
        <v>0.33274999999999999</v>
      </c>
      <c r="E17">
        <f>Table2[[#This Row],[g/L]]</f>
        <v>0.33274999999999999</v>
      </c>
      <c r="F17">
        <f>Table2[[#This Row],[mg/ml]]*AVERAGE([1]Balance!$C$10:$C$11)/AVERAGE([1]Balance!$B$10:$B$11)</f>
        <v>3.4120079365079361</v>
      </c>
      <c r="G17">
        <f>Table2[[#This Row],[expected mg/ g]]/50</f>
        <v>6.824015873015872E-2</v>
      </c>
      <c r="H17">
        <f>'RAW DATA'!M41</f>
        <v>0.49421085013333338</v>
      </c>
      <c r="I17">
        <f>H17/Table2[[#This Row],[mg/ml]]</f>
        <v>1.4852317058852995</v>
      </c>
      <c r="J17">
        <f>(H17*100)/Table2[[#This Row],[Mw (g/mol)]]</f>
        <v>0.37130792647132488</v>
      </c>
      <c r="K17" s="21">
        <v>1</v>
      </c>
      <c r="L17" s="19">
        <f>(14*K17)/Table2[[#This Row],[Mw (g/mol)]]</f>
        <v>0.10518407212622088</v>
      </c>
      <c r="M17" s="55">
        <f>Table47[[#This Row],[Raw mg/ g SCG]]*[2]averages!$J$16</f>
        <v>23.556503917573103</v>
      </c>
      <c r="N17" s="57">
        <f t="shared" si="0"/>
        <v>2.4777690071076139</v>
      </c>
      <c r="O17" s="4">
        <f>Table47[[#This Row],[PP PE RAW mg/ g PESCG]]*[3]Proximate!$B$17</f>
        <v>43.608925415938003</v>
      </c>
      <c r="P17" s="57">
        <f>L17*O17</f>
        <v>4.5869643562970097</v>
      </c>
      <c r="U17" s="20"/>
    </row>
    <row r="18" spans="1:21" x14ac:dyDescent="0.3">
      <c r="A18" t="s">
        <v>28</v>
      </c>
      <c r="B18">
        <v>2.5000000000000001E-3</v>
      </c>
      <c r="C18">
        <v>155.19999999999999</v>
      </c>
      <c r="D18">
        <f t="shared" si="1"/>
        <v>0.38799999999999996</v>
      </c>
      <c r="E18">
        <f>Table2[[#This Row],[g/L]]</f>
        <v>0.38799999999999996</v>
      </c>
      <c r="F18">
        <f>Table2[[#This Row],[mg/ml]]*AVERAGE([1]Balance!$C$10:$C$11)/AVERAGE([1]Balance!$B$10:$B$11)</f>
        <v>3.9785396825396813</v>
      </c>
      <c r="G18">
        <f>Table2[[#This Row],[expected mg/ g]]/50</f>
        <v>7.9570793650793628E-2</v>
      </c>
      <c r="H18" t="e">
        <f>'RAW DATA'!#REF!</f>
        <v>#REF!</v>
      </c>
      <c r="I18" t="e">
        <f>H18/Table2[[#This Row],[mg/ml]]</f>
        <v>#REF!</v>
      </c>
      <c r="J18" t="e">
        <f>(H18*100)/Table2[[#This Row],[Mw (g/mol)]]</f>
        <v>#REF!</v>
      </c>
      <c r="K18" s="21">
        <v>3</v>
      </c>
      <c r="L18" s="19">
        <f>(14*K18)/Table2[[#This Row],[Mw (g/mol)]]</f>
        <v>0.27061855670103097</v>
      </c>
      <c r="M18" s="56">
        <f>Table47[[#This Row],[Raw mg/ g SCG]]*[2]averages!$J$16</f>
        <v>4.1812192663788492</v>
      </c>
      <c r="N18" s="57">
        <f t="shared" si="0"/>
        <v>1.1315155231179876</v>
      </c>
      <c r="O18" s="3">
        <f>Table47[[#This Row],[PP PE RAW mg/ g PESCG]]*[3]Proximate!$B$17</f>
        <v>4.5589584316000433</v>
      </c>
      <c r="P18" s="57">
        <f>L18*O18</f>
        <v>1.2337387508195996</v>
      </c>
      <c r="U18" s="20"/>
    </row>
    <row r="19" spans="1:21" x14ac:dyDescent="0.3">
      <c r="L19" s="30" t="s">
        <v>90</v>
      </c>
      <c r="M19" s="53">
        <f>Table47[[#This Row],[Raw mg/ g SCG]]*[2]averages!$J$16</f>
        <v>217.94329486074682</v>
      </c>
      <c r="N19">
        <f>SUM(N2:N18)</f>
        <v>27.58722333380058</v>
      </c>
      <c r="O19" s="3">
        <f>Table47[[#This Row],[PP PE RAW mg/ g PESCG]]*[3]Proximate!$B$17</f>
        <v>327.46954910777538</v>
      </c>
      <c r="P19">
        <f>SUM(P2:P18)</f>
        <v>39.865772064777971</v>
      </c>
    </row>
    <row r="20" spans="1:21" x14ac:dyDescent="0.3">
      <c r="L20" t="s">
        <v>148</v>
      </c>
      <c r="M20" s="19">
        <f>N19/M19</f>
        <v>0.12657982137705692</v>
      </c>
      <c r="O20" s="19">
        <f>P19/O19</f>
        <v>0.12173886754782662</v>
      </c>
    </row>
    <row r="21" spans="1:21" x14ac:dyDescent="0.3">
      <c r="L21" t="s">
        <v>149</v>
      </c>
      <c r="M21">
        <f>(100/M20)*0.01</f>
        <v>7.9001533508345894</v>
      </c>
      <c r="O21">
        <f>(100/O20)*0.01</f>
        <v>8.2143034524872487</v>
      </c>
    </row>
    <row r="22" spans="1:21" x14ac:dyDescent="0.3">
      <c r="L22" s="61" t="s">
        <v>150</v>
      </c>
      <c r="M22">
        <f>M21*2.55</f>
        <v>20.145391044628202</v>
      </c>
      <c r="N22" s="5">
        <v>2.3E-2</v>
      </c>
      <c r="O22">
        <f>O21*[3]ultimate!$E$26</f>
        <v>28.487975828000391</v>
      </c>
    </row>
    <row r="23" spans="1:21" x14ac:dyDescent="0.3">
      <c r="O23" s="54"/>
    </row>
    <row r="24" spans="1:21" x14ac:dyDescent="0.3">
      <c r="K24" s="20"/>
    </row>
    <row r="27" spans="1:21" x14ac:dyDescent="0.3">
      <c r="M27" s="58"/>
    </row>
    <row r="28" spans="1:21" x14ac:dyDescent="0.3">
      <c r="M28" s="58"/>
    </row>
    <row r="29" spans="1:21" x14ac:dyDescent="0.3">
      <c r="M29" s="58"/>
    </row>
    <row r="30" spans="1:21" x14ac:dyDescent="0.3">
      <c r="M30" s="58"/>
    </row>
    <row r="31" spans="1:21" x14ac:dyDescent="0.3">
      <c r="M31" s="58"/>
    </row>
    <row r="32" spans="1:21" x14ac:dyDescent="0.3">
      <c r="M32" s="58"/>
    </row>
    <row r="33" spans="13:13" x14ac:dyDescent="0.3">
      <c r="M33" s="58"/>
    </row>
    <row r="34" spans="13:13" x14ac:dyDescent="0.3">
      <c r="M34" s="58"/>
    </row>
    <row r="35" spans="13:13" x14ac:dyDescent="0.3">
      <c r="M35" s="58"/>
    </row>
    <row r="36" spans="13:13" x14ac:dyDescent="0.3">
      <c r="M36" s="58"/>
    </row>
    <row r="37" spans="13:13" x14ac:dyDescent="0.3">
      <c r="M37" s="58"/>
    </row>
    <row r="38" spans="13:13" x14ac:dyDescent="0.3">
      <c r="M38" s="58"/>
    </row>
    <row r="39" spans="13:13" x14ac:dyDescent="0.3">
      <c r="M39" s="58"/>
    </row>
    <row r="40" spans="13:13" x14ac:dyDescent="0.3">
      <c r="M40" s="58"/>
    </row>
    <row r="41" spans="13:13" x14ac:dyDescent="0.3">
      <c r="M41" s="58"/>
    </row>
    <row r="63" spans="27:27" x14ac:dyDescent="0.3">
      <c r="AA63">
        <f>O22*SQRT((Y61/O21)^2+([3]ultimate!$I$26/[3]ultimate!$E$26)^2)</f>
        <v>2.3894497939033288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1"/>
  <sheetViews>
    <sheetView zoomScale="77" zoomScaleNormal="77" workbookViewId="0">
      <selection activeCell="H2" sqref="H2"/>
    </sheetView>
  </sheetViews>
  <sheetFormatPr defaultRowHeight="14.4" x14ac:dyDescent="0.3"/>
  <cols>
    <col min="1" max="1" width="18.33203125" bestFit="1" customWidth="1"/>
    <col min="2" max="2" width="17.109375" customWidth="1"/>
    <col min="3" max="3" width="30.5546875" customWidth="1"/>
    <col min="4" max="4" width="19" customWidth="1"/>
    <col min="5" max="5" width="29.33203125" customWidth="1"/>
    <col min="6" max="6" width="21.33203125" bestFit="1" customWidth="1"/>
    <col min="7" max="7" width="20.109375" customWidth="1"/>
    <col min="8" max="8" width="15" customWidth="1"/>
    <col min="9" max="9" width="21.44140625" bestFit="1" customWidth="1"/>
    <col min="10" max="10" width="21.5546875" bestFit="1" customWidth="1"/>
    <col min="11" max="11" width="9.109375" customWidth="1"/>
  </cols>
  <sheetData>
    <row r="1" spans="1:7" x14ac:dyDescent="0.3">
      <c r="A1" s="2" t="s">
        <v>74</v>
      </c>
      <c r="B1" t="s">
        <v>81</v>
      </c>
      <c r="C1" t="s">
        <v>71</v>
      </c>
      <c r="D1" t="s">
        <v>82</v>
      </c>
      <c r="E1" t="s">
        <v>85</v>
      </c>
      <c r="F1" t="s">
        <v>83</v>
      </c>
      <c r="G1" t="s">
        <v>84</v>
      </c>
    </row>
    <row r="2" spans="1:7" x14ac:dyDescent="0.3">
      <c r="A2" s="3" t="s">
        <v>0</v>
      </c>
      <c r="B2">
        <f>'RAW DATA'!D28</f>
        <v>0.96329237803816836</v>
      </c>
      <c r="C2">
        <f>(B2*AVERAGE([1]Balance!$C$4:$C$5)/AVERAGE([1]Balance!$B$4:$B$5))</f>
        <v>9.7805327616930064</v>
      </c>
      <c r="D2">
        <f>'RAW DATA'!G28</f>
        <v>1.5234360995071792</v>
      </c>
      <c r="E2" s="9">
        <f>Table4[[#This Row],[PE RAW  mg/mL]]*AVERAGE([1]Balance!$C$8:$C$9)/AVERAGE([1]Balance!$B$8:$B$9)</f>
        <v>15.752238678055898</v>
      </c>
      <c r="F2" s="9">
        <f>'RAW DATA'!J28</f>
        <v>1.1509541574861737</v>
      </c>
      <c r="G2" s="9">
        <f>Table4[[#This Row],[PE SWE mg/ mL]]*AVERAGE([1]Balance!$C$6:$C$7)/AVERAGE([1]Balance!$B$6:$B$7)</f>
        <v>12.038110979194354</v>
      </c>
    </row>
    <row r="3" spans="1:7" x14ac:dyDescent="0.3">
      <c r="A3" s="4" t="s">
        <v>1</v>
      </c>
      <c r="B3">
        <f>'RAW DATA'!D29</f>
        <v>1.2546256635626571</v>
      </c>
      <c r="C3">
        <f>(B3*AVERAGE([1]Balance!$C$4:$C$5)/AVERAGE([1]Balance!$B$4:$B$5))</f>
        <v>12.738507732331698</v>
      </c>
      <c r="D3">
        <f>'RAW DATA'!G29</f>
        <v>1.7005561914760075</v>
      </c>
      <c r="E3" s="9">
        <f>Table4[[#This Row],[PE RAW  mg/mL]]*AVERAGE([1]Balance!$C$8:$C$9)/AVERAGE([1]Balance!$B$8:$B$9)</f>
        <v>17.583649896599791</v>
      </c>
      <c r="F3" s="9">
        <f>'RAW DATA'!J29</f>
        <v>1.2398807113091015</v>
      </c>
      <c r="G3" s="9">
        <f>Table4[[#This Row],[PE SWE mg/ mL]]*AVERAGE([1]Balance!$C$6:$C$7)/AVERAGE([1]Balance!$B$6:$B$7)</f>
        <v>12.968215551087839</v>
      </c>
    </row>
    <row r="4" spans="1:7" x14ac:dyDescent="0.3">
      <c r="A4" s="4" t="s">
        <v>3</v>
      </c>
      <c r="B4">
        <f>'RAW DATA'!D30</f>
        <v>0.88546772805431517</v>
      </c>
      <c r="C4">
        <f>(B4*AVERAGE([1]Balance!$C$4:$C$5)/AVERAGE([1]Balance!$B$4:$B$5))</f>
        <v>8.9903608926032188</v>
      </c>
      <c r="D4">
        <f>'RAW DATA'!G30</f>
        <v>1.3996993740872845</v>
      </c>
      <c r="E4" s="9">
        <f>Table4[[#This Row],[PE RAW  mg/mL]]*AVERAGE([1]Balance!$C$8:$C$9)/AVERAGE([1]Balance!$B$8:$B$9)</f>
        <v>14.472808295195877</v>
      </c>
      <c r="F4" s="9">
        <f>'RAW DATA'!J30</f>
        <v>1.0489605584631245</v>
      </c>
      <c r="G4" s="9">
        <f>Table4[[#This Row],[PE SWE mg/ mL]]*AVERAGE([1]Balance!$C$6:$C$7)/AVERAGE([1]Balance!$B$6:$B$7)</f>
        <v>10.971334986231607</v>
      </c>
    </row>
    <row r="5" spans="1:7" x14ac:dyDescent="0.3">
      <c r="A5" s="3" t="s">
        <v>4</v>
      </c>
      <c r="B5">
        <f>'RAW DATA'!D31</f>
        <v>0.19205839604674413</v>
      </c>
      <c r="C5">
        <f>(B5*AVERAGE([1]Balance!$C$4:$C$5)/AVERAGE([1]Balance!$B$4:$B$5))</f>
        <v>1.9500138042397785</v>
      </c>
      <c r="D5" s="9">
        <f>'RAW DATA'!G31</f>
        <v>0.22214912482345731</v>
      </c>
      <c r="E5" s="9">
        <f>Table4[[#This Row],[PE RAW  mg/mL]]*AVERAGE([1]Balance!$C$8:$C$9)/AVERAGE([1]Balance!$B$8:$B$9)</f>
        <v>2.2970087406175721</v>
      </c>
      <c r="F5" s="9">
        <f>'RAW DATA'!J31</f>
        <v>0.1214681975442604</v>
      </c>
      <c r="G5" s="9">
        <f>Table4[[#This Row],[PE SWE mg/ mL]]*AVERAGE([1]Balance!$C$6:$C$7)/AVERAGE([1]Balance!$B$6:$B$7)</f>
        <v>1.2704655810742622</v>
      </c>
    </row>
    <row r="6" spans="1:7" x14ac:dyDescent="0.3">
      <c r="A6" s="4" t="s">
        <v>5</v>
      </c>
      <c r="B6">
        <f>'RAW DATA'!D32</f>
        <v>1.5640455135441835</v>
      </c>
      <c r="C6">
        <f>(B6*AVERAGE([1]Balance!$C$4:$C$5)/AVERAGE([1]Balance!$B$4:$B$5))</f>
        <v>15.880119821099354</v>
      </c>
      <c r="D6" s="9">
        <f>'RAW DATA'!G32</f>
        <v>2.5518384289085083</v>
      </c>
      <c r="E6" s="9">
        <f>Table4[[#This Row],[PE RAW  mg/mL]]*AVERAGE([1]Balance!$C$8:$C$9)/AVERAGE([1]Balance!$B$8:$B$9)</f>
        <v>26.385857610309682</v>
      </c>
      <c r="F6" s="9">
        <f>'RAW DATA'!J32</f>
        <v>1.6961824256397784</v>
      </c>
      <c r="G6" s="9">
        <f>Table4[[#This Row],[PE SWE mg/ mL]]*AVERAGE([1]Balance!$C$6:$C$7)/AVERAGE([1]Balance!$B$6:$B$7)</f>
        <v>17.740786762009691</v>
      </c>
    </row>
    <row r="7" spans="1:7" x14ac:dyDescent="0.3">
      <c r="A7" s="3" t="s">
        <v>6</v>
      </c>
      <c r="B7">
        <f>'RAW DATA'!D33</f>
        <v>1.0365917733263001</v>
      </c>
      <c r="C7">
        <f>(B7*AVERAGE([1]Balance!$C$4:$C$5)/AVERAGE([1]Balance!$B$4:$B$5))</f>
        <v>10.524758661713003</v>
      </c>
      <c r="D7" s="9">
        <f>'RAW DATA'!G33</f>
        <v>1.2784280357859117</v>
      </c>
      <c r="E7" s="9">
        <f>Table4[[#This Row],[PE RAW  mg/mL]]*AVERAGE([1]Balance!$C$8:$C$9)/AVERAGE([1]Balance!$B$8:$B$9)</f>
        <v>13.218869868537579</v>
      </c>
      <c r="F7" s="9">
        <f>'RAW DATA'!J33</f>
        <v>0.87356489027106177</v>
      </c>
      <c r="G7" s="9">
        <f>Table4[[#This Row],[PE SWE mg/ mL]]*AVERAGE([1]Balance!$C$6:$C$7)/AVERAGE([1]Balance!$B$6:$B$7)</f>
        <v>9.1368288026164137</v>
      </c>
    </row>
    <row r="8" spans="1:7" x14ac:dyDescent="0.3">
      <c r="A8" s="4" t="s">
        <v>7</v>
      </c>
      <c r="B8">
        <f>'RAW DATA'!D34</f>
        <v>0.41382278038202053</v>
      </c>
      <c r="C8">
        <f>(B8*AVERAGE([1]Balance!$C$4:$C$5)/AVERAGE([1]Balance!$B$4:$B$5))</f>
        <v>4.2016394537493911</v>
      </c>
      <c r="D8" s="9">
        <f>'RAW DATA'!G34</f>
        <v>1.26204565472615</v>
      </c>
      <c r="E8" s="9">
        <f>Table4[[#This Row],[PE RAW  mg/mL]]*AVERAGE([1]Balance!$C$8:$C$9)/AVERAGE([1]Balance!$B$8:$B$9)</f>
        <v>13.04947702255493</v>
      </c>
      <c r="F8" s="9">
        <f>'RAW DATA'!J34</f>
        <v>0.91999037602630773</v>
      </c>
      <c r="G8" s="9">
        <f>Table4[[#This Row],[PE SWE mg/ mL]]*AVERAGE([1]Balance!$C$6:$C$7)/AVERAGE([1]Balance!$B$6:$B$7)</f>
        <v>9.6224043106847024</v>
      </c>
    </row>
    <row r="9" spans="1:7" x14ac:dyDescent="0.3">
      <c r="A9" s="3" t="s">
        <v>8</v>
      </c>
      <c r="B9">
        <f>'RAW DATA'!D35</f>
        <v>1.0976318844434751</v>
      </c>
      <c r="C9">
        <f>(B9*AVERAGE([1]Balance!$C$4:$C$5)/AVERAGE([1]Balance!$B$4:$B$5))</f>
        <v>11.14451318294649</v>
      </c>
      <c r="D9" s="9">
        <f>'RAW DATA'!G35</f>
        <v>1.3730863622144289</v>
      </c>
      <c r="E9" s="9">
        <f>Table4[[#This Row],[PE RAW  mg/mL]]*AVERAGE([1]Balance!$C$8:$C$9)/AVERAGE([1]Balance!$B$8:$B$9)</f>
        <v>14.197631334968422</v>
      </c>
      <c r="F9" s="9">
        <f>'RAW DATA'!J35</f>
        <v>0.8690498547186164</v>
      </c>
      <c r="G9" s="9">
        <f>Table4[[#This Row],[PE SWE mg/ mL]]*AVERAGE([1]Balance!$C$6:$C$7)/AVERAGE([1]Balance!$B$6:$B$7)</f>
        <v>9.0896049416990863</v>
      </c>
    </row>
    <row r="10" spans="1:7" x14ac:dyDescent="0.3">
      <c r="A10" s="4" t="s">
        <v>9</v>
      </c>
      <c r="B10">
        <f>'RAW DATA'!D36</f>
        <v>0.92258441172389083</v>
      </c>
      <c r="C10">
        <f>(B10*AVERAGE([1]Balance!$C$4:$C$5)/AVERAGE([1]Balance!$B$4:$B$5))</f>
        <v>9.3672152609259527</v>
      </c>
      <c r="D10" s="9">
        <f>'RAW DATA'!G36</f>
        <v>0.15524193014303667</v>
      </c>
      <c r="E10" s="9">
        <f>Table4[[#This Row],[PE RAW  mg/mL]]*AVERAGE([1]Balance!$C$8:$C$9)/AVERAGE([1]Balance!$B$8:$B$9)</f>
        <v>1.605192326246087</v>
      </c>
      <c r="F10" s="9">
        <f>'RAW DATA'!J36</f>
        <v>7.5180293368647982E-2</v>
      </c>
      <c r="G10" s="9">
        <f>Table4[[#This Row],[PE SWE mg/ mL]]*AVERAGE([1]Balance!$C$6:$C$7)/AVERAGE([1]Balance!$B$6:$B$7)</f>
        <v>0.7863290723905707</v>
      </c>
    </row>
    <row r="11" spans="1:7" x14ac:dyDescent="0.3">
      <c r="A11" s="3" t="s">
        <v>10</v>
      </c>
      <c r="B11">
        <f>'RAW DATA'!D37</f>
        <v>1.0316073574600126</v>
      </c>
      <c r="C11">
        <f>(B11*AVERAGE([1]Balance!$C$4:$C$5)/AVERAGE([1]Balance!$B$4:$B$5))</f>
        <v>10.474150721912409</v>
      </c>
      <c r="D11" s="9">
        <f>'RAW DATA'!G37</f>
        <v>0.97975515422982495</v>
      </c>
      <c r="E11" s="9">
        <f>Table4[[#This Row],[PE RAW  mg/mL]]*AVERAGE([1]Balance!$C$8:$C$9)/AVERAGE([1]Balance!$B$8:$B$9)</f>
        <v>10.130610033775783</v>
      </c>
      <c r="F11" s="9">
        <f>'RAW DATA'!J37</f>
        <v>0.55760999242439413</v>
      </c>
      <c r="G11" s="9">
        <f>Table4[[#This Row],[PE SWE mg/ mL]]*AVERAGE([1]Balance!$C$6:$C$7)/AVERAGE([1]Balance!$B$6:$B$7)</f>
        <v>5.8321792647012671</v>
      </c>
    </row>
    <row r="12" spans="1:7" x14ac:dyDescent="0.3">
      <c r="A12" s="4" t="s">
        <v>26</v>
      </c>
      <c r="B12">
        <f>'RAW DATA'!D38</f>
        <v>4.9875286529853495</v>
      </c>
      <c r="C12">
        <f>(B12*AVERAGE([1]Balance!$C$4:$C$5)/AVERAGE([1]Balance!$B$4:$B$5))</f>
        <v>50.639544651803497</v>
      </c>
      <c r="D12" s="9">
        <f>'RAW DATA'!G38</f>
        <v>8.6990487875550624</v>
      </c>
      <c r="E12" s="9">
        <f>Table4[[#This Row],[PE RAW  mg/mL]]*AVERAGE([1]Balance!$C$8:$C$9)/AVERAGE([1]Balance!$B$8:$B$9)</f>
        <v>89.947647175978176</v>
      </c>
      <c r="F12" s="9">
        <f>'RAW DATA'!J38</f>
        <v>3.2416501782750786</v>
      </c>
      <c r="G12" s="9">
        <f>Table4[[#This Row],[PE SWE mg/ mL]]*AVERAGE([1]Balance!$C$6:$C$7)/AVERAGE([1]Balance!$B$6:$B$7)</f>
        <v>33.905211904384075</v>
      </c>
    </row>
    <row r="13" spans="1:7" x14ac:dyDescent="0.3">
      <c r="A13" s="3" t="s">
        <v>11</v>
      </c>
      <c r="B13">
        <f>'RAW DATA'!D39</f>
        <v>0.63247068816593277</v>
      </c>
      <c r="C13">
        <f>(B13*AVERAGE([1]Balance!$C$4:$C$5)/AVERAGE([1]Balance!$B$4:$B$5))</f>
        <v>6.4216227881046555</v>
      </c>
      <c r="D13" s="9">
        <f>'RAW DATA'!G39</f>
        <v>0.13929076718412087</v>
      </c>
      <c r="E13" s="9">
        <f>Table4[[#This Row],[PE RAW  mg/mL]]*AVERAGE([1]Balance!$C$8:$C$9)/AVERAGE([1]Balance!$B$8:$B$9)</f>
        <v>1.4402582497838783</v>
      </c>
      <c r="F13" s="9">
        <f>'RAW DATA'!J39</f>
        <v>7.5400083336763193E-2</v>
      </c>
      <c r="G13" s="9">
        <f>Table4[[#This Row],[PE SWE mg/ mL]]*AVERAGE([1]Balance!$C$6:$C$7)/AVERAGE([1]Balance!$B$6:$B$7)</f>
        <v>0.78862790941294469</v>
      </c>
    </row>
    <row r="14" spans="1:7" x14ac:dyDescent="0.3">
      <c r="A14" s="4" t="s">
        <v>12</v>
      </c>
      <c r="B14">
        <f>'RAW DATA'!D40</f>
        <v>0.15590667413314319</v>
      </c>
      <c r="C14">
        <f>(B14*AVERAGE([1]Balance!$C$4:$C$5)/AVERAGE([1]Balance!$B$4:$B$5))</f>
        <v>1.582956918263277</v>
      </c>
      <c r="D14" s="9">
        <f>'RAW DATA'!G40</f>
        <v>8.8833117638729864E-2</v>
      </c>
      <c r="E14" s="9">
        <f>Table4[[#This Row],[PE RAW  mg/mL]]*AVERAGE([1]Balance!$C$8:$C$9)/AVERAGE([1]Balance!$B$8:$B$9)</f>
        <v>0.91852915393941403</v>
      </c>
      <c r="F14" s="9">
        <f>'RAW DATA'!J40</f>
        <v>1.6049314315049665E-2</v>
      </c>
      <c r="G14" s="9">
        <f>Table4[[#This Row],[PE SWE mg/ mL]]*AVERAGE([1]Balance!$C$6:$C$7)/AVERAGE([1]Balance!$B$6:$B$7)</f>
        <v>0.16786370300492304</v>
      </c>
    </row>
    <row r="15" spans="1:7" x14ac:dyDescent="0.3">
      <c r="A15" s="3" t="s">
        <v>13</v>
      </c>
      <c r="B15">
        <f>'RAW DATA'!D41</f>
        <v>2.2829285956301364</v>
      </c>
      <c r="C15">
        <f>(B15*AVERAGE([1]Balance!$C$4:$C$5)/AVERAGE([1]Balance!$B$4:$B$5))</f>
        <v>23.179107850557131</v>
      </c>
      <c r="D15" s="9">
        <f>'RAW DATA'!G41</f>
        <v>3.8244516439662504</v>
      </c>
      <c r="E15" s="9">
        <f>Table4[[#This Row],[PE RAW  mg/mL]]*AVERAGE([1]Balance!$C$8:$C$9)/AVERAGE([1]Balance!$B$8:$B$9)</f>
        <v>39.544602578295233</v>
      </c>
      <c r="F15" s="9">
        <f>'RAW DATA'!J41</f>
        <v>2.8299067285981718</v>
      </c>
      <c r="G15" s="9">
        <f>Table4[[#This Row],[PE SWE mg/ mL]]*AVERAGE([1]Balance!$C$6:$C$7)/AVERAGE([1]Balance!$B$6:$B$7)</f>
        <v>29.598686479433365</v>
      </c>
    </row>
    <row r="16" spans="1:7" x14ac:dyDescent="0.3">
      <c r="A16" s="4" t="s">
        <v>14</v>
      </c>
      <c r="B16">
        <f>'RAW DATA'!B42</f>
        <v>4.1855074483333338E-2</v>
      </c>
      <c r="C16">
        <f>(B16*AVERAGE([1]Balance!$C$4:$C$5)/AVERAGE([1]Balance!$B$4:$B$5))</f>
        <v>0.42496435823674966</v>
      </c>
      <c r="D16" s="9">
        <f>'RAW DATA'!E42</f>
        <v>9.5922657466666658E-2</v>
      </c>
      <c r="E16" s="9">
        <f>Table4[[#This Row],[PE RAW  mg/mL]]*AVERAGE([1]Balance!$C$8:$C$9)/AVERAGE([1]Balance!$B$8:$B$9)</f>
        <v>0.99183457418209453</v>
      </c>
      <c r="F16" s="9">
        <f>'RAW DATA'!H42</f>
        <v>8.872774768333333E-2</v>
      </c>
      <c r="G16" s="9">
        <f>Table4[[#This Row],[PE SWE mg/ mL]]*AVERAGE([1]Balance!$C$6:$C$7)/AVERAGE([1]Balance!$B$6:$B$7)</f>
        <v>0.92802520986484427</v>
      </c>
    </row>
    <row r="17" spans="1:7" x14ac:dyDescent="0.3">
      <c r="A17" s="3" t="s">
        <v>27</v>
      </c>
      <c r="B17">
        <f>'RAW DATA'!D43</f>
        <v>2.1626785394258858</v>
      </c>
      <c r="C17">
        <f>(B17*AVERAGE([1]Balance!$C$4:$C$5)/AVERAGE([1]Balance!$B$4:$B$5))</f>
        <v>21.958180911743025</v>
      </c>
      <c r="D17" s="9">
        <f>'RAW DATA'!G43</f>
        <v>3.9492593418109014</v>
      </c>
      <c r="E17" s="9">
        <f>Table4[[#This Row],[PE RAW  mg/mL]]*AVERAGE([1]Balance!$C$8:$C$9)/AVERAGE([1]Balance!$B$8:$B$9)</f>
        <v>40.835106752342064</v>
      </c>
      <c r="F17" s="9">
        <f>'RAW DATA'!J43</f>
        <v>0.27637170804272215</v>
      </c>
      <c r="G17" s="9">
        <f>Table4[[#This Row],[PE SWE mg/ mL]]*AVERAGE([1]Balance!$C$6:$C$7)/AVERAGE([1]Balance!$B$6:$B$7)</f>
        <v>2.8906392763673185</v>
      </c>
    </row>
    <row r="18" spans="1:7" x14ac:dyDescent="0.3">
      <c r="A18" s="4" t="s">
        <v>28</v>
      </c>
      <c r="B18">
        <f>'RAW DATA'!D44</f>
        <v>0.38386991582761126</v>
      </c>
      <c r="C18">
        <f>(B18*AVERAGE([1]Balance!$C$4:$C$5)/AVERAGE([1]Balance!$B$4:$B$5))</f>
        <v>3.8975210160248221</v>
      </c>
      <c r="D18" s="9">
        <f>'RAW DATA'!G44</f>
        <v>0.41286294040035754</v>
      </c>
      <c r="E18" s="9">
        <f>Table4[[#This Row],[PE RAW  mg/mL]]*AVERAGE([1]Balance!$C$8:$C$9)/AVERAGE([1]Balance!$B$8:$B$9)</f>
        <v>4.268978252920645</v>
      </c>
      <c r="F18" s="9">
        <f>'RAW DATA'!J44</f>
        <v>0.2532776095427296</v>
      </c>
      <c r="G18" s="9">
        <f>Table4[[#This Row],[PE SWE mg/ mL]]*AVERAGE([1]Balance!$C$6:$C$7)/AVERAGE([1]Balance!$B$6:$B$7)</f>
        <v>2.6490924528912534</v>
      </c>
    </row>
    <row r="19" spans="1:7" x14ac:dyDescent="0.3">
      <c r="A19" s="6" t="s">
        <v>73</v>
      </c>
      <c r="C19">
        <f>SUM(C2:C18)</f>
        <v>203.15571078794744</v>
      </c>
      <c r="D19" s="9"/>
      <c r="E19" s="9">
        <f>SUM(E2:E18)</f>
        <v>306.64030054430316</v>
      </c>
      <c r="F19" s="9">
        <f>'RAW DATA'!H45</f>
        <v>0</v>
      </c>
      <c r="G19" s="9">
        <f>SUM(G2:G18)</f>
        <v>160.38440718704854</v>
      </c>
    </row>
    <row r="20" spans="1:7" x14ac:dyDescent="0.3">
      <c r="A20" t="s">
        <v>86</v>
      </c>
      <c r="B20" s="30"/>
      <c r="C20" s="31">
        <f>C19/1000</f>
        <v>0.20315571078794745</v>
      </c>
      <c r="D20" s="30"/>
      <c r="E20" s="31">
        <f>E19/1000</f>
        <v>0.30664030054430313</v>
      </c>
      <c r="F20" s="30"/>
      <c r="G20" s="31">
        <f>G19/1000</f>
        <v>0.16038440718704855</v>
      </c>
    </row>
    <row r="21" spans="1:7" x14ac:dyDescent="0.3">
      <c r="A21" t="s">
        <v>87</v>
      </c>
      <c r="E21" s="18">
        <f>Table4[[#Totals],[PE RAW mg/ g PESCG]]*[1]Balance!$O$8</f>
        <v>0.17466728893678737</v>
      </c>
      <c r="G21" s="5">
        <f>Table4[[#Totals],[PE SWE mg/ g SCG]]*[1]Balance!$O$6</f>
        <v>8.2350333406226578E-2</v>
      </c>
    </row>
    <row r="23" spans="1:7" x14ac:dyDescent="0.3">
      <c r="A23" t="s">
        <v>89</v>
      </c>
    </row>
    <row r="24" spans="1:7" x14ac:dyDescent="0.3">
      <c r="A24" s="10" t="s">
        <v>74</v>
      </c>
      <c r="B24" t="s">
        <v>88</v>
      </c>
      <c r="C24" t="s">
        <v>67</v>
      </c>
      <c r="D24" t="s">
        <v>84</v>
      </c>
      <c r="E24" t="s">
        <v>104</v>
      </c>
      <c r="F24" t="s">
        <v>105</v>
      </c>
      <c r="G24" t="s">
        <v>106</v>
      </c>
    </row>
    <row r="25" spans="1:7" x14ac:dyDescent="0.3">
      <c r="A25" s="11" t="s">
        <v>0</v>
      </c>
      <c r="B25">
        <f>(('RAW DATA'!C28/'RAW DATA'!O28)*AVERAGE([1]Balance!$C$4:$C$5))/AVERAGE([1]Balance!$B$4:$B$5)</f>
        <v>0.79463130606543475</v>
      </c>
      <c r="C25">
        <f>('RAW DATA'!F28/'RAW DATA'!O28)*AVERAGE([1]Balance!$C$8:$C$9)/AVERAGE([1]Balance!$B$8:$B$9)</f>
        <v>2.5891920652142133</v>
      </c>
      <c r="D25">
        <f>('RAW DATA'!I28/'RAW DATA'!O28)*AVERAGE([1]Balance!$C$6:$C$7)/AVERAGE([1]Balance!$B$6:$B$7)</f>
        <v>0.41273390115877356</v>
      </c>
      <c r="E25">
        <f>B25^2</f>
        <v>0.63143891257925866</v>
      </c>
      <c r="F25">
        <f t="shared" ref="F25:G40" si="0">C25^2</f>
        <v>6.7039155505682428</v>
      </c>
      <c r="G25">
        <f t="shared" si="0"/>
        <v>0.17034927316574028</v>
      </c>
    </row>
    <row r="26" spans="1:7" x14ac:dyDescent="0.3">
      <c r="A26" s="12" t="s">
        <v>1</v>
      </c>
      <c r="B26">
        <f>0.5*(('RAW DATA'!C29/'RAW DATA'!O29)*AVERAGE([1]Balance!$C$4:$C$5))/AVERAGE([1]Balance!$B$4:$B$5)</f>
        <v>1.7479364435914548</v>
      </c>
      <c r="C26">
        <f>0.5*('RAW DATA'!F29/'RAW DATA'!O29)*AVERAGE([1]Balance!$C$8:$C$9)/AVERAGE([1]Balance!$B$8:$B$9)</f>
        <v>3.1943568021519582</v>
      </c>
      <c r="D26">
        <f>0.5*('RAW DATA'!I29/'RAW DATA'!O29)*AVERAGE([1]Balance!$C$6:$C$7)/AVERAGE([1]Balance!$B$6:$B$7)</f>
        <v>0.48002626858381825</v>
      </c>
      <c r="E26">
        <f t="shared" ref="E26:E41" si="1">B26^2</f>
        <v>3.0552818108351434</v>
      </c>
      <c r="F26">
        <f t="shared" si="0"/>
        <v>10.203915379454484</v>
      </c>
      <c r="G26">
        <f t="shared" si="0"/>
        <v>0.23042521853050402</v>
      </c>
    </row>
    <row r="27" spans="1:7" x14ac:dyDescent="0.3">
      <c r="A27" s="11" t="s">
        <v>3</v>
      </c>
      <c r="B27">
        <f>(('RAW DATA'!C30/'RAW DATA'!O30)*AVERAGE([1]Balance!$C$4:$C$5))/AVERAGE([1]Balance!$B$4:$B$5)</f>
        <v>0.49048935161553248</v>
      </c>
      <c r="C27">
        <f>('RAW DATA'!F30/'RAW DATA'!O30)*AVERAGE([1]Balance!$C$8:$C$9)/AVERAGE([1]Balance!$B$8:$B$9)</f>
        <v>2.0228131724005265</v>
      </c>
      <c r="D27">
        <f>('RAW DATA'!I30/'RAW DATA'!O30)*AVERAGE([1]Balance!$C$6:$C$7)/AVERAGE([1]Balance!$B$6:$B$7)</f>
        <v>0.2632266209268907</v>
      </c>
      <c r="E27">
        <f t="shared" si="1"/>
        <v>0.24057980404822546</v>
      </c>
      <c r="F27">
        <f t="shared" si="0"/>
        <v>4.0917731304370824</v>
      </c>
      <c r="G27">
        <f t="shared" si="0"/>
        <v>6.9288253964589014E-2</v>
      </c>
    </row>
    <row r="28" spans="1:7" x14ac:dyDescent="0.3">
      <c r="A28" s="11" t="s">
        <v>4</v>
      </c>
      <c r="B28">
        <f>(('RAW DATA'!C31/'RAW DATA'!O31)*AVERAGE([1]Balance!$C$4:$C$5))/AVERAGE([1]Balance!$B$4:$B$5)</f>
        <v>0.16403729046227955</v>
      </c>
      <c r="C28">
        <f>('RAW DATA'!F31/'RAW DATA'!O31)*AVERAGE([1]Balance!$C$8:$C$9)/AVERAGE([1]Balance!$B$8:$B$9)</f>
        <v>0.29243472250839697</v>
      </c>
      <c r="D28">
        <f>('RAW DATA'!I31/'RAW DATA'!O31)*AVERAGE([1]Balance!$C$6:$C$7)/AVERAGE([1]Balance!$B$6:$B$7)</f>
        <v>0.10608461088541382</v>
      </c>
      <c r="E28">
        <f t="shared" si="1"/>
        <v>2.690823266220627E-2</v>
      </c>
      <c r="F28">
        <f t="shared" si="0"/>
        <v>8.5518066928563133E-2</v>
      </c>
      <c r="G28">
        <f t="shared" si="0"/>
        <v>1.125394466670966E-2</v>
      </c>
    </row>
    <row r="29" spans="1:7" x14ac:dyDescent="0.3">
      <c r="A29" s="11" t="s">
        <v>5</v>
      </c>
      <c r="B29">
        <f>('RAW DATA'!C32/'RAW DATA'!O32)*AVERAGE([1]Balance!$C$4:$C$5)/AVERAGE([1]Balance!$B$4:$B$5)</f>
        <v>2.6409012505565856</v>
      </c>
      <c r="C29">
        <f>('RAW DATA'!F32/'RAW DATA'!O32)*AVERAGE([1]Balance!$C$8:$C$9)/AVERAGE([1]Balance!$B$8:$B$9)</f>
        <v>7.0322017205815017</v>
      </c>
      <c r="D29">
        <f>('RAW DATA'!I32/'RAW DATA'!O32)*AVERAGE([1]Balance!$C$6:$C$7)/AVERAGE([1]Balance!$B$6:$B$7)</f>
        <v>1.3002610869332258</v>
      </c>
      <c r="E29">
        <f t="shared" si="1"/>
        <v>6.974359415191338</v>
      </c>
      <c r="F29">
        <f t="shared" si="0"/>
        <v>49.451861038949431</v>
      </c>
      <c r="G29">
        <f t="shared" si="0"/>
        <v>1.690678894192774</v>
      </c>
    </row>
    <row r="30" spans="1:7" x14ac:dyDescent="0.3">
      <c r="A30" s="11" t="s">
        <v>6</v>
      </c>
      <c r="B30">
        <f>('RAW DATA'!C33/'RAW DATA'!O33)*AVERAGE([1]Balance!$C$4:$C$5)/AVERAGE([1]Balance!$B$4:$B$5)</f>
        <v>0.51698406920977746</v>
      </c>
      <c r="C30">
        <f>('RAW DATA'!F33/'RAW DATA'!O33)*AVERAGE([1]Balance!$C$8:$C$9)/AVERAGE([1]Balance!$B$8:$B$9)</f>
        <v>1.9980372770582875</v>
      </c>
      <c r="D30">
        <f>('RAW DATA'!I33/'RAW DATA'!O33)*AVERAGE([1]Balance!$C$6:$C$7)/AVERAGE([1]Balance!$B$6:$B$7)</f>
        <v>0.55969123567462609</v>
      </c>
      <c r="E30">
        <f t="shared" si="1"/>
        <v>0.26727252781669997</v>
      </c>
      <c r="F30">
        <f t="shared" si="0"/>
        <v>3.9921529605144959</v>
      </c>
      <c r="G30">
        <f>D30^2</f>
        <v>0.31325427929098987</v>
      </c>
    </row>
    <row r="31" spans="1:7" x14ac:dyDescent="0.3">
      <c r="A31" s="11" t="s">
        <v>7</v>
      </c>
      <c r="B31">
        <f>('RAW DATA'!C34/'RAW DATA'!O34)*AVERAGE([1]Balance!$C$4:$C$5)/AVERAGE([1]Balance!$B$4:$B$5)</f>
        <v>0.40341427036785277</v>
      </c>
      <c r="C31">
        <f>('RAW DATA'!F34/'RAW DATA'!O34)*AVERAGE([1]Balance!$C$8:$C$9)/AVERAGE([1]Balance!$B$8:$B$9)</f>
        <v>2.7270306126219843</v>
      </c>
      <c r="D31">
        <f>('RAW DATA'!I34/'RAW DATA'!O34)*AVERAGE([1]Balance!$C$6:$C$7)/AVERAGE([1]Balance!$B$6:$B$7)</f>
        <v>1.0341322658833889</v>
      </c>
      <c r="E31">
        <f t="shared" si="1"/>
        <v>0.162743073536427</v>
      </c>
      <c r="F31">
        <f t="shared" si="0"/>
        <v>7.4366959621774349</v>
      </c>
      <c r="G31">
        <f t="shared" si="0"/>
        <v>1.0694295433411123</v>
      </c>
    </row>
    <row r="32" spans="1:7" x14ac:dyDescent="0.3">
      <c r="A32" s="11" t="s">
        <v>8</v>
      </c>
      <c r="B32">
        <f>('RAW DATA'!C35/'RAW DATA'!O35)*AVERAGE([1]Balance!$C$4:$C$5)/AVERAGE([1]Balance!$B$4:$B$5)</f>
        <v>0.83860969000428276</v>
      </c>
      <c r="C32">
        <f>('RAW DATA'!F35/'RAW DATA'!O35)*AVERAGE([1]Balance!$C$8:$C$9)/AVERAGE([1]Balance!$B$8:$B$9)</f>
        <v>3.0915674401965054</v>
      </c>
      <c r="D32">
        <f>('RAW DATA'!I35/'RAW DATA'!O35)*AVERAGE([1]Balance!$C$6:$C$7)/AVERAGE([1]Balance!$B$6:$B$7)</f>
        <v>0.56650359634422953</v>
      </c>
      <c r="E32">
        <f t="shared" si="1"/>
        <v>0.70326621216907925</v>
      </c>
      <c r="F32">
        <f t="shared" si="0"/>
        <v>9.5577892372831723</v>
      </c>
      <c r="G32">
        <f t="shared" si="0"/>
        <v>0.32092632467094573</v>
      </c>
    </row>
    <row r="33" spans="1:7" x14ac:dyDescent="0.3">
      <c r="A33" s="11" t="s">
        <v>9</v>
      </c>
      <c r="B33">
        <f>('RAW DATA'!C36/'RAW DATA'!O36)*AVERAGE([1]Balance!$C$4:$C$5)/AVERAGE([1]Balance!$B$4:$B$5)</f>
        <v>1.2447334912224357</v>
      </c>
      <c r="C33">
        <f>('RAW DATA'!F36/'RAW DATA'!O36)*AVERAGE([1]Balance!$C$8:$C$9)/AVERAGE([1]Balance!$B$8:$B$9)</f>
        <v>0.50579225971882147</v>
      </c>
      <c r="D33">
        <f>('RAW DATA'!I36/'RAW DATA'!O36)*AVERAGE([1]Balance!$C$6:$C$7)/AVERAGE([1]Balance!$B$6:$B$7)</f>
        <v>0.1380153934326544</v>
      </c>
      <c r="E33">
        <f t="shared" si="1"/>
        <v>1.5493614641707933</v>
      </c>
      <c r="F33">
        <f t="shared" si="0"/>
        <v>0.25582580999147175</v>
      </c>
      <c r="G33">
        <f t="shared" si="0"/>
        <v>1.9048248824370381E-2</v>
      </c>
    </row>
    <row r="34" spans="1:7" x14ac:dyDescent="0.3">
      <c r="A34" s="11" t="s">
        <v>10</v>
      </c>
      <c r="B34">
        <f>('RAW DATA'!C37/'RAW DATA'!O37)*AVERAGE([1]Balance!$C$4:$C$5)/AVERAGE([1]Balance!$B$4:$B$5)</f>
        <v>1.3274086873720439</v>
      </c>
      <c r="C34">
        <f>('RAW DATA'!F37/'RAW DATA'!O37)*AVERAGE([1]Balance!$C$8:$C$9)/AVERAGE([1]Balance!$B$8:$B$9)</f>
        <v>2.5584927264474047</v>
      </c>
      <c r="D34">
        <f>('RAW DATA'!I37/'RAW DATA'!O37)*AVERAGE([1]Balance!$C$6:$C$7)/AVERAGE([1]Balance!$B$6:$B$7)</f>
        <v>0.85828938380148867</v>
      </c>
      <c r="E34">
        <f t="shared" si="1"/>
        <v>1.7620138233107725</v>
      </c>
      <c r="F34">
        <f t="shared" si="0"/>
        <v>6.545885031284274</v>
      </c>
      <c r="G34">
        <f t="shared" si="0"/>
        <v>0.73666066634633909</v>
      </c>
    </row>
    <row r="35" spans="1:7" x14ac:dyDescent="0.3">
      <c r="A35" s="11" t="s">
        <v>26</v>
      </c>
      <c r="B35">
        <f>('RAW DATA'!C38/'RAW DATA'!O38)*AVERAGE([1]Balance!$C$4:$C$5)/AVERAGE([1]Balance!$B$4:$B$5)</f>
        <v>12.172014180513502</v>
      </c>
      <c r="C35">
        <f>('RAW DATA'!F38/'RAW DATA'!O38*AVERAGE([1]Balance!$C$8:$C$9)/AVERAGE([1]Balance!$B$8:$B$9))</f>
        <v>42.35862321372467</v>
      </c>
      <c r="D35">
        <f>('RAW DATA'!I38/'RAW DATA'!O38)*AVERAGE([1]Balance!$C$6:$C$7)/AVERAGE([1]Balance!$B$6:$B$7)</f>
        <v>5.6145376672006853</v>
      </c>
      <c r="E35">
        <f t="shared" si="1"/>
        <v>148.15792921062177</v>
      </c>
      <c r="F35">
        <f t="shared" si="0"/>
        <v>1794.2529605622944</v>
      </c>
      <c r="G35">
        <f t="shared" si="0"/>
        <v>31.523033216415314</v>
      </c>
    </row>
    <row r="36" spans="1:7" x14ac:dyDescent="0.3">
      <c r="A36" s="11" t="s">
        <v>11</v>
      </c>
      <c r="B36">
        <f>('RAW DATA'!C39/'RAW DATA'!O39)*AVERAGE([1]Balance!$C$4:$C$5)/AVERAGE([1]Balance!$B$4:$B$5)</f>
        <v>1.339815173249421</v>
      </c>
      <c r="C36">
        <f>('RAW DATA'!F39/'RAW DATA'!O39)*AVERAGE([1]Balance!$C$8:$C$9)/AVERAGE([1]Balance!$B$8:$B$9)</f>
        <v>0.38015889333234387</v>
      </c>
      <c r="D36">
        <f>('RAW DATA'!I39/'RAW DATA'!O39)*AVERAGE([1]Balance!$C$6:$C$7)/AVERAGE([1]Balance!$B$6:$B$7)</f>
        <v>0.11307905569203544</v>
      </c>
      <c r="E36">
        <f t="shared" si="1"/>
        <v>1.7951046984693759</v>
      </c>
      <c r="F36">
        <f t="shared" si="0"/>
        <v>0.1445207841796724</v>
      </c>
      <c r="G36">
        <f t="shared" si="0"/>
        <v>1.2786872836202452E-2</v>
      </c>
    </row>
    <row r="37" spans="1:7" x14ac:dyDescent="0.3">
      <c r="A37" s="11" t="s">
        <v>12</v>
      </c>
      <c r="B37">
        <f>('RAW DATA'!C40/'RAW DATA'!O40)*AVERAGE([1]Balance!$C$4:$C$5)/AVERAGE([1]Balance!$B$4:$B$5)</f>
        <v>8.2005644765310151E-2</v>
      </c>
      <c r="C37">
        <f>('RAW DATA'!F40/'RAW DATA'!O40)*AVERAGE([1]Balance!$C$8:$C$9)/AVERAGE([1]Balance!$B$8:$B$9)</f>
        <v>0.22292394618113218</v>
      </c>
      <c r="D37">
        <f>('RAW DATA'!I40/'RAW DATA'!O40)*AVERAGE([1]Balance!$C$6:$C$7)/AVERAGE([1]Balance!$B$6:$B$7)</f>
        <v>7.9627435776026892E-3</v>
      </c>
      <c r="E37">
        <f t="shared" si="1"/>
        <v>6.7249257733742402E-3</v>
      </c>
      <c r="F37">
        <f t="shared" si="0"/>
        <v>4.9695085780968318E-2</v>
      </c>
      <c r="G37">
        <f t="shared" si="0"/>
        <v>6.3405285282652868E-5</v>
      </c>
    </row>
    <row r="38" spans="1:7" x14ac:dyDescent="0.3">
      <c r="A38" s="11" t="s">
        <v>13</v>
      </c>
      <c r="B38">
        <f>('RAW DATA'!C41/'RAW DATA'!O41)*AVERAGE([1]Balance!$C$4:$C$5)/AVERAGE([1]Balance!$B$4:$B$5)</f>
        <v>2.5311423360909417</v>
      </c>
      <c r="C38">
        <f>('RAW DATA'!F41/'RAW DATA'!O41)*AVERAGE([1]Balance!$C$8:$C$9)/AVERAGE([1]Balance!$B$8:$B$9)</f>
        <v>8.0500786002471028</v>
      </c>
      <c r="D38">
        <f>('RAW DATA'!I41/'RAW DATA'!O41)*AVERAGE([1]Balance!$C$6:$C$7)/AVERAGE([1]Balance!$B$6:$B$7)</f>
        <v>1.7196238727549624</v>
      </c>
      <c r="E38">
        <f t="shared" si="1"/>
        <v>6.4066815255519103</v>
      </c>
      <c r="F38">
        <f t="shared" si="0"/>
        <v>64.80376547015635</v>
      </c>
      <c r="G38">
        <f t="shared" si="0"/>
        <v>2.9571062637487753</v>
      </c>
    </row>
    <row r="39" spans="1:7" x14ac:dyDescent="0.3">
      <c r="A39" s="11" t="s">
        <v>14</v>
      </c>
      <c r="B39">
        <f>('RAW DATA'!C42)*AVERAGE([1]Balance!$C$4:$C$5)/AVERAGE([1]Balance!$B$4:$B$5)</f>
        <v>2.0785381293344767E-2</v>
      </c>
      <c r="C39">
        <f>('RAW DATA'!F42)*AVERAGE([1]Balance!$C$8:$C$9)/AVERAGE([1]Balance!$B$8:$B$9)</f>
        <v>9.6451130991266898E-2</v>
      </c>
      <c r="D39">
        <f>('RAW DATA'!I42)*AVERAGE([1]Balance!$C$6:$C$7)/AVERAGE([1]Balance!$B$6:$B$7)</f>
        <v>2.8936823774058779E-2</v>
      </c>
      <c r="E39">
        <f t="shared" si="1"/>
        <v>4.3203207550972656E-4</v>
      </c>
      <c r="F39">
        <f t="shared" si="0"/>
        <v>9.3028206694945256E-3</v>
      </c>
      <c r="G39">
        <f t="shared" si="0"/>
        <v>8.373397701309334E-4</v>
      </c>
    </row>
    <row r="40" spans="1:7" x14ac:dyDescent="0.3">
      <c r="A40" s="11" t="s">
        <v>27</v>
      </c>
      <c r="B40">
        <f>('RAW DATA'!C43/'RAW DATA'!O43)*AVERAGE([1]Balance!$C$4:$C$5)/AVERAGE([1]Balance!$B$4:$B$5)</f>
        <v>4.330763418134878</v>
      </c>
      <c r="C40">
        <f>('RAW DATA'!F43/'RAW DATA'!O43)*AVERAGE([1]Balance!$C$8:$C$9)/AVERAGE([1]Balance!$B$8:$B$9)</f>
        <v>21.344122557084251</v>
      </c>
      <c r="D40">
        <f>('RAW DATA'!I43/'RAW DATA'!O43)*AVERAGE([1]Balance!$C$6:$C$7)/AVERAGE([1]Balance!$B$6:$B$7)</f>
        <v>0.48614875374338867</v>
      </c>
      <c r="E40">
        <f t="shared" si="1"/>
        <v>18.75551178385529</v>
      </c>
      <c r="F40">
        <f t="shared" si="0"/>
        <v>455.57156773183277</v>
      </c>
      <c r="G40">
        <f t="shared" si="0"/>
        <v>0.23634061076624996</v>
      </c>
    </row>
    <row r="41" spans="1:7" ht="15" thickBot="1" x14ac:dyDescent="0.35">
      <c r="A41" s="11" t="s">
        <v>28</v>
      </c>
      <c r="B41">
        <f>('RAW DATA'!C44/'RAW DATA'!O44)*AVERAGE([1]Balance!$C$4:$C$5)/AVERAGE([1]Balance!$B$4:$B$5)</f>
        <v>1.2238593729281335</v>
      </c>
      <c r="C41">
        <f>('RAW DATA'!F44/'RAW DATA'!O44)*AVERAGE([1]Balance!$C$8:$C$9)/AVERAGE([1]Balance!$B$8:$B$9)</f>
        <v>0.81513994795186329</v>
      </c>
      <c r="D41">
        <f>('RAW DATA'!I44/'RAW DATA'!O44)*AVERAGE([1]Balance!$C$6:$C$7)/AVERAGE([1]Balance!$B$6:$B$7)</f>
        <v>0.20420691209023584</v>
      </c>
      <c r="E41">
        <f t="shared" si="1"/>
        <v>1.4978317647040442</v>
      </c>
      <c r="F41">
        <f>C41^2</f>
        <v>0.66445313474696643</v>
      </c>
      <c r="G41">
        <f>D41^2</f>
        <v>4.1700462945429305E-2</v>
      </c>
    </row>
    <row r="42" spans="1:7" ht="15" thickBot="1" x14ac:dyDescent="0.35">
      <c r="A42" s="11" t="s">
        <v>112</v>
      </c>
      <c r="B42" s="27">
        <f>SQRT(SUM(E25:E41))</f>
        <v>13.856169788847538</v>
      </c>
      <c r="C42" s="28">
        <f>SQRT(SUM(F25:F41))</f>
        <v>49.130658429917759</v>
      </c>
      <c r="D42" s="29">
        <f>SQRT(SUM(G25:G41))</f>
        <v>6.2771954580657638</v>
      </c>
    </row>
    <row r="43" spans="1:7" ht="15" thickTop="1" x14ac:dyDescent="0.3">
      <c r="A43" s="17" t="s">
        <v>86</v>
      </c>
      <c r="B43" s="19">
        <f>B42/1000</f>
        <v>1.3856169788847537E-2</v>
      </c>
      <c r="C43" s="19">
        <f>C42/1000</f>
        <v>4.9130658429917762E-2</v>
      </c>
      <c r="D43" s="19">
        <f>D42/1000</f>
        <v>6.2771954580657634E-3</v>
      </c>
    </row>
    <row r="44" spans="1:7" x14ac:dyDescent="0.3">
      <c r="A44" s="16" t="s">
        <v>87</v>
      </c>
      <c r="C44" s="19">
        <f>C43*[1]Balance!$P$8</f>
        <v>7.7011480755006232E-4</v>
      </c>
      <c r="D44" s="19">
        <f>D43*[1]Balance!$P$6</f>
        <v>1.7073590551180455E-4</v>
      </c>
    </row>
    <row r="49" spans="1:13" x14ac:dyDescent="0.3">
      <c r="B49" t="s">
        <v>116</v>
      </c>
      <c r="E49" t="s">
        <v>107</v>
      </c>
    </row>
    <row r="50" spans="1:13" x14ac:dyDescent="0.3">
      <c r="B50" t="s">
        <v>91</v>
      </c>
      <c r="C50" t="s">
        <v>92</v>
      </c>
      <c r="D50" t="s">
        <v>93</v>
      </c>
      <c r="E50" t="s">
        <v>95</v>
      </c>
      <c r="F50" t="s">
        <v>96</v>
      </c>
      <c r="G50" t="s">
        <v>97</v>
      </c>
      <c r="H50" t="s">
        <v>104</v>
      </c>
      <c r="I50" t="s">
        <v>105</v>
      </c>
      <c r="J50" t="s">
        <v>106</v>
      </c>
      <c r="K50" t="s">
        <v>114</v>
      </c>
    </row>
    <row r="51" spans="1:13" x14ac:dyDescent="0.3">
      <c r="A51" s="10" t="s">
        <v>74</v>
      </c>
      <c r="K51" t="s">
        <v>95</v>
      </c>
      <c r="L51" t="s">
        <v>96</v>
      </c>
      <c r="M51" t="s">
        <v>115</v>
      </c>
    </row>
    <row r="52" spans="1:13" x14ac:dyDescent="0.3">
      <c r="A52" s="11" t="s">
        <v>0</v>
      </c>
      <c r="B52" s="5">
        <f>C2/C19</f>
        <v>4.8143036313174875E-2</v>
      </c>
      <c r="C52" s="5">
        <f>E2/E19</f>
        <v>5.1370412336848158E-2</v>
      </c>
      <c r="D52" s="5">
        <f>G2/G19</f>
        <v>7.5057863730823224E-2</v>
      </c>
      <c r="E52">
        <f>SQRT((B25/C2)^2+(B42/C19)^2)</f>
        <v>0.10607933898429031</v>
      </c>
      <c r="F52">
        <f>SQRT((C25/E2)^2+(C42/E19)^2)</f>
        <v>0.22954009981679815</v>
      </c>
      <c r="G52">
        <f>SQRT((D25/G2)^2+(D42/G19)^2)</f>
        <v>5.2031914059854072E-2</v>
      </c>
      <c r="H52">
        <f>E52^2</f>
        <v>1.1252826159343974E-2</v>
      </c>
      <c r="I52">
        <f t="shared" ref="I52:J67" si="2">F52^2</f>
        <v>5.268865742390566E-2</v>
      </c>
      <c r="J52">
        <f t="shared" si="2"/>
        <v>2.70732008073204E-3</v>
      </c>
      <c r="K52">
        <f>E52/100</f>
        <v>1.0607933898429032E-3</v>
      </c>
      <c r="L52">
        <f t="shared" ref="L52:M67" si="3">F52/100</f>
        <v>2.2954009981679814E-3</v>
      </c>
      <c r="M52">
        <f t="shared" si="3"/>
        <v>5.2031914059854072E-4</v>
      </c>
    </row>
    <row r="53" spans="1:13" x14ac:dyDescent="0.3">
      <c r="A53" s="12" t="s">
        <v>1</v>
      </c>
      <c r="B53" s="5">
        <f>C3/C19</f>
        <v>6.2703173260180045E-2</v>
      </c>
      <c r="C53" s="5">
        <f>E3/E19</f>
        <v>5.7342918935925448E-2</v>
      </c>
      <c r="D53" s="5">
        <f>G3/G19</f>
        <v>8.0857084416963557E-2</v>
      </c>
      <c r="E53">
        <f>SQRT((B26/C3)^2+(B42/C19)^2)</f>
        <v>0.15323286368680414</v>
      </c>
      <c r="F53">
        <f>SQRT((C26/E3)^2+(C42/E19)^2)</f>
        <v>0.24222691838119473</v>
      </c>
      <c r="G53">
        <f>SQRT((D26/G3)^2+(D42/G19)^2)</f>
        <v>5.3869954956983823E-2</v>
      </c>
      <c r="H53">
        <f t="shared" ref="H53:H68" si="4">E53^2</f>
        <v>2.34803105136587E-2</v>
      </c>
      <c r="I53">
        <f t="shared" si="2"/>
        <v>5.8673879988449973E-2</v>
      </c>
      <c r="J53">
        <f t="shared" si="2"/>
        <v>2.9019720470674659E-3</v>
      </c>
      <c r="K53">
        <f t="shared" ref="K53:K68" si="5">E53/100</f>
        <v>1.5323286368680413E-3</v>
      </c>
      <c r="L53">
        <f t="shared" si="3"/>
        <v>2.4222691838119473E-3</v>
      </c>
      <c r="M53">
        <f t="shared" si="3"/>
        <v>5.3869954956983822E-4</v>
      </c>
    </row>
    <row r="54" spans="1:13" x14ac:dyDescent="0.3">
      <c r="A54" s="11" t="s">
        <v>3</v>
      </c>
      <c r="B54" s="5">
        <f>C4/C19</f>
        <v>4.4253547477123581E-2</v>
      </c>
      <c r="C54" s="5">
        <f>E4/E19</f>
        <v>4.7197998011043747E-2</v>
      </c>
      <c r="D54" s="5">
        <f>G4/G19</f>
        <v>6.8406493989383102E-2</v>
      </c>
      <c r="E54">
        <f>SQRT((B27/C4)^2+(B42/C19)^2)</f>
        <v>8.7340548493536049E-2</v>
      </c>
      <c r="F54">
        <f>SQRT((C27/E4)^2+(C42/E19)^2)</f>
        <v>0.21261677914275898</v>
      </c>
      <c r="G54">
        <f>SQRT((D27/G4)^2+(D42/G19)^2)</f>
        <v>4.590690380275185E-2</v>
      </c>
      <c r="H54">
        <f t="shared" si="4"/>
        <v>7.6283714111517222E-3</v>
      </c>
      <c r="I54">
        <f t="shared" si="2"/>
        <v>4.5205894773040746E-2</v>
      </c>
      <c r="J54">
        <f t="shared" si="2"/>
        <v>2.1074438167551124E-3</v>
      </c>
      <c r="K54">
        <f t="shared" si="5"/>
        <v>8.7340548493536048E-4</v>
      </c>
      <c r="L54">
        <f t="shared" si="3"/>
        <v>2.1261677914275897E-3</v>
      </c>
      <c r="M54">
        <f t="shared" si="3"/>
        <v>4.5906903802751852E-4</v>
      </c>
    </row>
    <row r="55" spans="1:13" x14ac:dyDescent="0.3">
      <c r="A55" s="11" t="s">
        <v>4</v>
      </c>
      <c r="B55" s="5">
        <f>C5/C19</f>
        <v>9.5986167293873898E-3</v>
      </c>
      <c r="C55" s="5">
        <f>E5/E19</f>
        <v>7.4908899337114429E-3</v>
      </c>
      <c r="D55" s="5">
        <f>G5/G19</f>
        <v>7.921378414253076E-3</v>
      </c>
      <c r="E55">
        <f>SQRT((B28/C5)^2+(B42/C19)^2)</f>
        <v>0.10829698136594423</v>
      </c>
      <c r="F55">
        <f>SQRT((C28/E5)^2+(C42/E19)^2)</f>
        <v>0.20464444590304295</v>
      </c>
      <c r="G55">
        <f>SQRT((D28/G5)^2++(D42/G19)^2)</f>
        <v>9.2218024611224497E-2</v>
      </c>
      <c r="H55">
        <f t="shared" si="4"/>
        <v>1.1728236172975673E-2</v>
      </c>
      <c r="I55">
        <f>F55^2</f>
        <v>4.1879349238963477E-2</v>
      </c>
      <c r="J55">
        <f t="shared" si="2"/>
        <v>8.5041640631964063E-3</v>
      </c>
      <c r="K55">
        <f t="shared" si="5"/>
        <v>1.0829698136594424E-3</v>
      </c>
      <c r="L55">
        <f t="shared" si="3"/>
        <v>2.0464444590304297E-3</v>
      </c>
      <c r="M55">
        <f t="shared" si="3"/>
        <v>9.2218024611224493E-4</v>
      </c>
    </row>
    <row r="56" spans="1:13" x14ac:dyDescent="0.3">
      <c r="A56" s="11" t="s">
        <v>5</v>
      </c>
      <c r="B56" s="5">
        <f>C6/C19</f>
        <v>7.8167233200128527E-2</v>
      </c>
      <c r="C56" s="5">
        <f>E6/E19</f>
        <v>8.6048238158759158E-2</v>
      </c>
      <c r="D56" s="5">
        <f>G6/G19</f>
        <v>0.11061416177022416</v>
      </c>
      <c r="E56">
        <f>SQRT((B29/C6)^2+(B42/C19)^2)</f>
        <v>0.17974523584706384</v>
      </c>
      <c r="F56">
        <f>SQRT((C29/E6)^2+(C42/E19)^2)</f>
        <v>0.31096779474818947</v>
      </c>
      <c r="G56">
        <f>SQRT((D29/G6)^2++(D42/G19)^2)</f>
        <v>8.308767873016118E-2</v>
      </c>
      <c r="H56">
        <f t="shared" si="4"/>
        <v>3.2308349809716606E-2</v>
      </c>
      <c r="I56">
        <f t="shared" si="2"/>
        <v>9.6700969370552101E-2</v>
      </c>
      <c r="J56">
        <f t="shared" si="2"/>
        <v>6.9035623567664786E-3</v>
      </c>
      <c r="K56">
        <f t="shared" si="5"/>
        <v>1.7974523584706383E-3</v>
      </c>
      <c r="L56">
        <f t="shared" si="3"/>
        <v>3.109677947481895E-3</v>
      </c>
      <c r="M56">
        <f t="shared" si="3"/>
        <v>8.3087678730161185E-4</v>
      </c>
    </row>
    <row r="57" spans="1:13" x14ac:dyDescent="0.3">
      <c r="A57" s="11" t="s">
        <v>6</v>
      </c>
      <c r="B57" s="5">
        <f>C7/C19</f>
        <v>5.1806363802879632E-2</v>
      </c>
      <c r="C57" s="5">
        <f>E7/E19</f>
        <v>4.3108716776866472E-2</v>
      </c>
      <c r="D57" s="5">
        <f>G7/G19</f>
        <v>5.6968311089996261E-2</v>
      </c>
      <c r="E57">
        <f>SQRT((B30/C7)^2+(B42/C19)^2)</f>
        <v>8.4051926986987296E-2</v>
      </c>
      <c r="F57">
        <f>SQRT((C30/E7)^2+(C42/E19)^2)</f>
        <v>0.22026727097047361</v>
      </c>
      <c r="G57">
        <f>SQRT((D30/G7)^2++(D42/G19)^2)</f>
        <v>7.2692439555354052E-2</v>
      </c>
      <c r="H57">
        <f t="shared" si="4"/>
        <v>7.0647264302258431E-3</v>
      </c>
      <c r="I57">
        <f t="shared" si="2"/>
        <v>4.8517670660780048E-2</v>
      </c>
      <c r="J57">
        <f t="shared" si="2"/>
        <v>5.284190768508802E-3</v>
      </c>
      <c r="K57">
        <f t="shared" si="5"/>
        <v>8.4051926986987294E-4</v>
      </c>
      <c r="L57">
        <f t="shared" si="3"/>
        <v>2.2026727097047361E-3</v>
      </c>
      <c r="M57">
        <f t="shared" si="3"/>
        <v>7.2692439555354055E-4</v>
      </c>
    </row>
    <row r="58" spans="1:13" x14ac:dyDescent="0.3">
      <c r="A58" s="11" t="s">
        <v>7</v>
      </c>
      <c r="B58" s="5">
        <f>C8/C19</f>
        <v>2.0681867309824402E-2</v>
      </c>
      <c r="C58" s="5">
        <f>E8/E19</f>
        <v>4.2556301306095126E-2</v>
      </c>
      <c r="D58" s="5">
        <f>G8/G19</f>
        <v>5.9995884135186285E-2</v>
      </c>
      <c r="E58">
        <f>SQRT((B31/C8)^2+(B42/C19)^2)</f>
        <v>0.11777299178313853</v>
      </c>
      <c r="F58">
        <f>SQRT((C31/E8)^2+(C42/E19)^2)</f>
        <v>0.26332926071826701</v>
      </c>
      <c r="G58">
        <f>SQRT((D31/G8)^2++(D42/G19)^2)</f>
        <v>0.11437612084306616</v>
      </c>
      <c r="H58">
        <f t="shared" si="4"/>
        <v>1.3870477593551216E-2</v>
      </c>
      <c r="I58">
        <f t="shared" si="2"/>
        <v>6.9342299550429046E-2</v>
      </c>
      <c r="J58">
        <f t="shared" si="2"/>
        <v>1.3081897019107672E-2</v>
      </c>
      <c r="K58">
        <f t="shared" si="5"/>
        <v>1.1777299178313853E-3</v>
      </c>
      <c r="L58">
        <f t="shared" si="3"/>
        <v>2.6332926071826702E-3</v>
      </c>
      <c r="M58">
        <f t="shared" si="3"/>
        <v>1.1437612084306615E-3</v>
      </c>
    </row>
    <row r="59" spans="1:13" x14ac:dyDescent="0.3">
      <c r="A59" s="11" t="s">
        <v>8</v>
      </c>
      <c r="B59" s="5">
        <f>C9/C19</f>
        <v>5.485700175359115E-2</v>
      </c>
      <c r="C59" s="5">
        <f>E9/E19</f>
        <v>4.6300604681664012E-2</v>
      </c>
      <c r="D59" s="5">
        <f>G9/G19</f>
        <v>5.6673869368724365E-2</v>
      </c>
      <c r="E59">
        <f>SQRT((B32/C9)^2+(B42/C19)^2)</f>
        <v>0.10155904188882504</v>
      </c>
      <c r="F59">
        <f>SQRT((C32/E9)^2+(C42/E19)^2)</f>
        <v>0.27034665342776965</v>
      </c>
      <c r="G59">
        <f>SQRT((D32/G9)^2++(D42/G19)^2)</f>
        <v>7.3594431698126628E-2</v>
      </c>
      <c r="H59">
        <f t="shared" si="4"/>
        <v>1.0314238989376119E-2</v>
      </c>
      <c r="I59">
        <f t="shared" si="2"/>
        <v>7.3087313019594591E-2</v>
      </c>
      <c r="J59">
        <f t="shared" si="2"/>
        <v>5.4161403769702257E-3</v>
      </c>
      <c r="K59">
        <f t="shared" si="5"/>
        <v>1.0155904188882505E-3</v>
      </c>
      <c r="L59">
        <f t="shared" si="3"/>
        <v>2.7034665342776966E-3</v>
      </c>
      <c r="M59">
        <f t="shared" si="3"/>
        <v>7.3594431698126631E-4</v>
      </c>
    </row>
    <row r="60" spans="1:13" x14ac:dyDescent="0.3">
      <c r="A60" s="11" t="s">
        <v>9</v>
      </c>
      <c r="B60" s="5">
        <f>C10/C19</f>
        <v>4.6108550060418377E-2</v>
      </c>
      <c r="C60" s="5">
        <f>E10/E19</f>
        <v>5.2347728703526037E-3</v>
      </c>
      <c r="D60" s="5">
        <f>G10/G19</f>
        <v>4.9027775591271375E-3</v>
      </c>
      <c r="E60">
        <f>SQRT((B33/C10)^2+(B42/C19)^2)</f>
        <v>0.14936358690704982</v>
      </c>
      <c r="F60">
        <f>SQRT((C33/E10)^2+(C42/E19)^2)</f>
        <v>0.35349361116406441</v>
      </c>
      <c r="G60">
        <f>SQRT((D33/G10)^2+(D42/G19)^2)</f>
        <v>0.17982937283760292</v>
      </c>
      <c r="H60">
        <f t="shared" si="4"/>
        <v>2.2309481093739824E-2</v>
      </c>
      <c r="I60">
        <f t="shared" si="2"/>
        <v>0.12495773313381077</v>
      </c>
      <c r="J60">
        <f t="shared" si="2"/>
        <v>3.2338603335165597E-2</v>
      </c>
      <c r="K60">
        <f t="shared" si="5"/>
        <v>1.4936358690704982E-3</v>
      </c>
      <c r="L60">
        <f t="shared" si="3"/>
        <v>3.534936111640644E-3</v>
      </c>
      <c r="M60">
        <f t="shared" si="3"/>
        <v>1.7982937283760293E-3</v>
      </c>
    </row>
    <row r="61" spans="1:13" x14ac:dyDescent="0.3">
      <c r="A61" s="11" t="s">
        <v>10</v>
      </c>
      <c r="B61" s="5">
        <f>C11/C19</f>
        <v>5.1557254685521768E-2</v>
      </c>
      <c r="C61" s="5">
        <f>E11/E19</f>
        <v>3.3037438379082594E-2</v>
      </c>
      <c r="D61" s="5">
        <f>G11/G19</f>
        <v>3.636375484993052E-2</v>
      </c>
      <c r="E61">
        <f>SQRT((B34/C11)^2+(B42/C19)^2)</f>
        <v>0.1439195763298832</v>
      </c>
      <c r="F61">
        <f>SQRT((C34/E11)^2+(C42/E19)^2)</f>
        <v>0.29908709638045511</v>
      </c>
      <c r="G61">
        <f>SQRT((D34/G11)^2+(D42/G19)^2)</f>
        <v>0.15227997004860439</v>
      </c>
      <c r="H61">
        <f t="shared" si="4"/>
        <v>2.0712844450973076E-2</v>
      </c>
      <c r="I61">
        <f t="shared" si="2"/>
        <v>8.945309122129165E-2</v>
      </c>
      <c r="J61">
        <f t="shared" si="2"/>
        <v>2.3189189278003848E-2</v>
      </c>
      <c r="K61">
        <f t="shared" si="5"/>
        <v>1.439195763298832E-3</v>
      </c>
      <c r="L61">
        <f t="shared" si="3"/>
        <v>2.990870963804551E-3</v>
      </c>
      <c r="M61">
        <f t="shared" si="3"/>
        <v>1.5227997004860438E-3</v>
      </c>
    </row>
    <row r="62" spans="1:13" x14ac:dyDescent="0.3">
      <c r="A62" s="11" t="s">
        <v>26</v>
      </c>
      <c r="B62" s="5">
        <f>C12/C19</f>
        <v>0.24926468695069426</v>
      </c>
      <c r="C62" s="5">
        <f>E12/E19</f>
        <v>0.29333276485940113</v>
      </c>
      <c r="D62" s="5">
        <f>G12/G19</f>
        <v>0.2113996771820971</v>
      </c>
      <c r="E62">
        <f>SQRT((B35/C12)^2+(B42/C19)^2)</f>
        <v>0.24985514064760575</v>
      </c>
      <c r="F62">
        <f>SQRT((C35/E12)^2+(C42/E19)^2)</f>
        <v>0.49743529714908646</v>
      </c>
      <c r="G62">
        <f>SQRT((D35/G12)^2+(D42/G19)^2)</f>
        <v>0.17015746107389426</v>
      </c>
      <c r="H62">
        <f t="shared" si="4"/>
        <v>6.2427591308034852E-2</v>
      </c>
      <c r="I62">
        <f t="shared" si="2"/>
        <v>0.24744187484979996</v>
      </c>
      <c r="J62">
        <f t="shared" si="2"/>
        <v>2.8953561559113841E-2</v>
      </c>
      <c r="K62">
        <f t="shared" si="5"/>
        <v>2.4985514064760576E-3</v>
      </c>
      <c r="L62">
        <f t="shared" si="3"/>
        <v>4.9743529714908648E-3</v>
      </c>
      <c r="M62">
        <f t="shared" si="3"/>
        <v>1.7015746107389427E-3</v>
      </c>
    </row>
    <row r="63" spans="1:13" x14ac:dyDescent="0.3">
      <c r="A63" s="11" t="s">
        <v>11</v>
      </c>
      <c r="B63" s="5">
        <f>C13/C19</f>
        <v>3.1609363887424767E-2</v>
      </c>
      <c r="C63" s="5">
        <f>E13/E19</f>
        <v>4.6968981155684425E-3</v>
      </c>
      <c r="D63" s="5">
        <f>G13/G19</f>
        <v>4.9171108541318873E-3</v>
      </c>
      <c r="E63">
        <f>SQRT((B36/C13)^2+(B42/C19)^2)</f>
        <v>0.2195063419930971</v>
      </c>
      <c r="F63">
        <f>SQRT((C36/E13)^2+(C42/E19)^2)</f>
        <v>0.30877473038356207</v>
      </c>
      <c r="G63">
        <f>SQRT((D36/G13)^2+(D42/G19)^2)</f>
        <v>0.14863267846027328</v>
      </c>
      <c r="H63">
        <f t="shared" si="4"/>
        <v>4.8183034175190501E-2</v>
      </c>
      <c r="I63">
        <f t="shared" si="2"/>
        <v>9.5341834123441452E-2</v>
      </c>
      <c r="J63">
        <f t="shared" si="2"/>
        <v>2.2091673106274985E-2</v>
      </c>
      <c r="K63">
        <f t="shared" si="5"/>
        <v>2.1950634199309708E-3</v>
      </c>
      <c r="L63">
        <f t="shared" si="3"/>
        <v>3.0877473038356208E-3</v>
      </c>
      <c r="M63">
        <f t="shared" si="3"/>
        <v>1.4863267846027329E-3</v>
      </c>
    </row>
    <row r="64" spans="1:13" x14ac:dyDescent="0.3">
      <c r="A64" s="11" t="s">
        <v>12</v>
      </c>
      <c r="B64" s="5">
        <f>C14/C19</f>
        <v>7.7918406139001264E-3</v>
      </c>
      <c r="C64" s="5">
        <f>E14/E19</f>
        <v>2.9954613020825214E-3</v>
      </c>
      <c r="D64" s="5">
        <f>G14/G19</f>
        <v>1.0466335596399452E-3</v>
      </c>
      <c r="E64">
        <f>SQRT((B37/C14)^2+(B42/C19)^2)</f>
        <v>8.5648542618801782E-2</v>
      </c>
      <c r="F64">
        <f>SQRT((C37/E14)^2+(C42/E19)^2)</f>
        <v>0.29081419198587199</v>
      </c>
      <c r="G64">
        <f>SQRT((D37/G14)^2+(D42/G19)^2)</f>
        <v>6.1497719462477667E-2</v>
      </c>
      <c r="H64">
        <f t="shared" si="4"/>
        <v>7.3356728527247048E-3</v>
      </c>
      <c r="I64">
        <f t="shared" si="2"/>
        <v>8.4572894260395617E-2</v>
      </c>
      <c r="J64">
        <f t="shared" si="2"/>
        <v>3.7819694990856045E-3</v>
      </c>
      <c r="K64">
        <f t="shared" si="5"/>
        <v>8.5648542618801786E-4</v>
      </c>
      <c r="L64">
        <f t="shared" si="3"/>
        <v>2.9081419198587199E-3</v>
      </c>
      <c r="M64">
        <f t="shared" si="3"/>
        <v>6.1497719462477664E-4</v>
      </c>
    </row>
    <row r="65" spans="1:13" x14ac:dyDescent="0.3">
      <c r="A65" s="11" t="s">
        <v>13</v>
      </c>
      <c r="B65" s="5">
        <f>C15/C19</f>
        <v>0.11409528071180498</v>
      </c>
      <c r="C65" s="5">
        <f>E15/E19</f>
        <v>0.12896087861935115</v>
      </c>
      <c r="D65" s="5">
        <f>G15/G19</f>
        <v>0.18454840466451239</v>
      </c>
      <c r="E65">
        <f>SQRT((B38/C15)^2+(B42/C19)^2)</f>
        <v>0.12874923316067025</v>
      </c>
      <c r="F65">
        <f>SQRT((C38/E15)^2+(C42/E19)^2)</f>
        <v>0.2590594724585244</v>
      </c>
      <c r="G65">
        <f>SQRT((D38/G15)^2+(D42/G19)^2)</f>
        <v>7.0051357293440267E-2</v>
      </c>
      <c r="H65">
        <f t="shared" si="4"/>
        <v>1.6576365039460632E-2</v>
      </c>
      <c r="I65">
        <f t="shared" si="2"/>
        <v>6.7111810270488959E-2</v>
      </c>
      <c r="J65">
        <f t="shared" si="2"/>
        <v>4.9071926586532269E-3</v>
      </c>
      <c r="K65">
        <f t="shared" si="5"/>
        <v>1.2874923316067025E-3</v>
      </c>
      <c r="L65">
        <f t="shared" si="3"/>
        <v>2.5905947245852441E-3</v>
      </c>
      <c r="M65">
        <f t="shared" si="3"/>
        <v>7.0051357293440266E-4</v>
      </c>
    </row>
    <row r="66" spans="1:13" x14ac:dyDescent="0.3">
      <c r="A66" s="11" t="s">
        <v>14</v>
      </c>
      <c r="B66" s="5">
        <f>C16/C19</f>
        <v>2.0918159602233608E-3</v>
      </c>
      <c r="C66" s="5">
        <f>E16/E19</f>
        <v>3.2345212694532793E-3</v>
      </c>
      <c r="D66" s="5">
        <f>G16/G19</f>
        <v>5.7862558221294762E-3</v>
      </c>
      <c r="E66">
        <f>SQRT((B39/C16)^2+(B42/C19)^2)</f>
        <v>8.3929448824761652E-2</v>
      </c>
      <c r="F66">
        <f>SQRT((C39/E16)^2+(C42/E19)^2)</f>
        <v>0.18742426872267867</v>
      </c>
      <c r="G66">
        <f>SQRT((D39/G16)^2+(D42/G19)^2)</f>
        <v>5.0040752506613002E-2</v>
      </c>
      <c r="H66">
        <f t="shared" si="4"/>
        <v>7.0441523800282846E-3</v>
      </c>
      <c r="I66">
        <f t="shared" si="2"/>
        <v>3.5127856506230869E-2</v>
      </c>
      <c r="J66">
        <f t="shared" si="2"/>
        <v>2.5040769114280954E-3</v>
      </c>
      <c r="K66">
        <f t="shared" si="5"/>
        <v>8.3929448824761647E-4</v>
      </c>
      <c r="L66">
        <f t="shared" si="3"/>
        <v>1.8742426872267867E-3</v>
      </c>
      <c r="M66">
        <f t="shared" si="3"/>
        <v>5.0040752506613003E-4</v>
      </c>
    </row>
    <row r="67" spans="1:13" x14ac:dyDescent="0.3">
      <c r="A67" s="11" t="s">
        <v>27</v>
      </c>
      <c r="B67" s="5">
        <f>C17/C19</f>
        <v>0.10808547210697328</v>
      </c>
      <c r="C67" s="5">
        <f>E17/E19</f>
        <v>0.13316940623870227</v>
      </c>
      <c r="D67" s="5">
        <f>G17/G19</f>
        <v>1.8023193944259847E-2</v>
      </c>
      <c r="E67">
        <f>SQRT((B40/C17)^2+(B42/C19)^2)</f>
        <v>0.20868799165221016</v>
      </c>
      <c r="F67">
        <f>SQRT((C40/E17)^2+(C42/E19)^2)</f>
        <v>0.5466960721415336</v>
      </c>
      <c r="G67">
        <f>SQRT((D40/G17)^2+(D42/G19)^2)</f>
        <v>0.17267440722676827</v>
      </c>
      <c r="H67">
        <f t="shared" si="4"/>
        <v>4.3550677859832937E-2</v>
      </c>
      <c r="I67">
        <f t="shared" si="2"/>
        <v>0.2988765952949809</v>
      </c>
      <c r="J67">
        <f t="shared" si="2"/>
        <v>2.9816450911115802E-2</v>
      </c>
      <c r="K67">
        <f t="shared" si="5"/>
        <v>2.0868799165221015E-3</v>
      </c>
      <c r="L67">
        <f t="shared" si="3"/>
        <v>5.4669607214153362E-3</v>
      </c>
      <c r="M67">
        <f t="shared" si="3"/>
        <v>1.7267440722676828E-3</v>
      </c>
    </row>
    <row r="68" spans="1:13" x14ac:dyDescent="0.3">
      <c r="A68" s="11" t="s">
        <v>28</v>
      </c>
      <c r="B68" s="5">
        <f>C18/C19</f>
        <v>1.9184895176749563E-2</v>
      </c>
      <c r="C68" s="5">
        <f>E18/E19</f>
        <v>1.3921778205092342E-2</v>
      </c>
      <c r="D68" s="5">
        <f>G18/G19</f>
        <v>1.6517144648617529E-2</v>
      </c>
      <c r="E68">
        <f>SQRT((B41/C18)^2+(B42/C19)^2)</f>
        <v>0.32133154933268304</v>
      </c>
      <c r="F68">
        <f>SQRT((C41/E18)^2+(C42/E19)^2)</f>
        <v>0.24926133932759514</v>
      </c>
      <c r="G68">
        <f>SQRT((D41/G18)^2+(D42/G19)^2)</f>
        <v>8.6452350992950441E-2</v>
      </c>
      <c r="H68">
        <f t="shared" si="4"/>
        <v>0.10325396459654251</v>
      </c>
      <c r="I68">
        <f>F68^2</f>
        <v>6.2131215283386526E-2</v>
      </c>
      <c r="J68">
        <f>G68^2</f>
        <v>7.4740089922082989E-3</v>
      </c>
      <c r="K68">
        <f t="shared" si="5"/>
        <v>3.2133154933268303E-3</v>
      </c>
      <c r="L68">
        <f>F68/100</f>
        <v>2.4926133932759516E-3</v>
      </c>
      <c r="M68">
        <f>G68/100</f>
        <v>8.645235099295044E-4</v>
      </c>
    </row>
    <row r="69" spans="1:13" ht="15" thickBot="1" x14ac:dyDescent="0.35"/>
    <row r="70" spans="1:13" ht="15" thickBot="1" x14ac:dyDescent="0.35">
      <c r="A70" s="6" t="s">
        <v>90</v>
      </c>
      <c r="B70" s="20">
        <f>SUM(B52:B68)</f>
        <v>1</v>
      </c>
      <c r="C70" s="20">
        <f>SUM(C52:C68)</f>
        <v>0.99999999999999967</v>
      </c>
      <c r="D70" s="20">
        <f>SUM(D52:D68)</f>
        <v>0.99999999999999989</v>
      </c>
      <c r="G70" s="27" t="s">
        <v>110</v>
      </c>
      <c r="H70" s="28">
        <f>SQRT(SUM(H52:H68))</f>
        <v>0.67010545501176688</v>
      </c>
      <c r="I70" s="28">
        <f>SQRT(SUM(I52:I68))</f>
        <v>1.2613924603268971</v>
      </c>
      <c r="J70" s="29">
        <f>SQRT(SUM(J52:J68))</f>
        <v>0.44940340094413339</v>
      </c>
    </row>
    <row r="73" spans="1:13" x14ac:dyDescent="0.3">
      <c r="E73" t="s">
        <v>111</v>
      </c>
    </row>
    <row r="74" spans="1:13" x14ac:dyDescent="0.3">
      <c r="B74" t="s">
        <v>95</v>
      </c>
      <c r="C74" t="s">
        <v>96</v>
      </c>
      <c r="D74" t="s">
        <v>97</v>
      </c>
      <c r="E74" t="s">
        <v>95</v>
      </c>
      <c r="F74" t="s">
        <v>96</v>
      </c>
      <c r="G74" t="s">
        <v>97</v>
      </c>
      <c r="H74" t="s">
        <v>104</v>
      </c>
      <c r="I74" t="s">
        <v>105</v>
      </c>
      <c r="J74" t="s">
        <v>106</v>
      </c>
    </row>
    <row r="75" spans="1:13" x14ac:dyDescent="0.3">
      <c r="A75" t="s">
        <v>94</v>
      </c>
    </row>
    <row r="76" spans="1:13" x14ac:dyDescent="0.3">
      <c r="A76" t="s">
        <v>12</v>
      </c>
      <c r="B76">
        <f>C14</f>
        <v>1.582956918263277</v>
      </c>
      <c r="C76">
        <f>E14</f>
        <v>0.91852915393941403</v>
      </c>
      <c r="D76">
        <f>G14</f>
        <v>0.16786370300492304</v>
      </c>
      <c r="E76">
        <f>B37</f>
        <v>8.2005644765310151E-2</v>
      </c>
      <c r="F76">
        <f>C37</f>
        <v>0.22292394618113218</v>
      </c>
      <c r="G76">
        <f>D37</f>
        <v>7.9627435776026892E-3</v>
      </c>
      <c r="H76">
        <f>E76^2</f>
        <v>6.7249257733742402E-3</v>
      </c>
      <c r="I76">
        <f t="shared" ref="I76:J83" si="6">F76^2</f>
        <v>4.9695085780968318E-2</v>
      </c>
      <c r="J76">
        <f t="shared" si="6"/>
        <v>6.3405285282652868E-5</v>
      </c>
    </row>
    <row r="77" spans="1:13" x14ac:dyDescent="0.3">
      <c r="A77" t="s">
        <v>28</v>
      </c>
      <c r="B77">
        <f>C18</f>
        <v>3.8975210160248221</v>
      </c>
      <c r="C77">
        <f>E18</f>
        <v>4.268978252920645</v>
      </c>
      <c r="D77">
        <f>G18</f>
        <v>2.6490924528912534</v>
      </c>
      <c r="E77">
        <f>B41</f>
        <v>1.2238593729281335</v>
      </c>
      <c r="F77">
        <f>C41</f>
        <v>0.81513994795186329</v>
      </c>
      <c r="G77">
        <f>D41</f>
        <v>0.20420691209023584</v>
      </c>
      <c r="H77">
        <f t="shared" ref="H77:H84" si="7">E77^2</f>
        <v>1.4978317647040442</v>
      </c>
      <c r="I77">
        <f t="shared" si="6"/>
        <v>0.66445313474696643</v>
      </c>
      <c r="J77">
        <f t="shared" si="6"/>
        <v>4.1700462945429305E-2</v>
      </c>
    </row>
    <row r="78" spans="1:13" x14ac:dyDescent="0.3">
      <c r="A78" t="s">
        <v>3</v>
      </c>
      <c r="B78">
        <f>C4</f>
        <v>8.9903608926032188</v>
      </c>
      <c r="C78">
        <f>E4</f>
        <v>14.472808295195877</v>
      </c>
      <c r="D78">
        <f>G4</f>
        <v>10.971334986231607</v>
      </c>
      <c r="E78">
        <f>B27</f>
        <v>0.49048935161553248</v>
      </c>
      <c r="F78">
        <f>C27</f>
        <v>2.0228131724005265</v>
      </c>
      <c r="G78">
        <f>D27</f>
        <v>0.2632266209268907</v>
      </c>
      <c r="H78">
        <f t="shared" si="7"/>
        <v>0.24057980404822546</v>
      </c>
      <c r="I78">
        <f t="shared" si="6"/>
        <v>4.0917731304370824</v>
      </c>
      <c r="J78">
        <f t="shared" si="6"/>
        <v>6.9288253964589014E-2</v>
      </c>
    </row>
    <row r="79" spans="1:13" x14ac:dyDescent="0.3">
      <c r="A79" t="s">
        <v>1</v>
      </c>
      <c r="B79">
        <f>C3</f>
        <v>12.738507732331698</v>
      </c>
      <c r="C79">
        <f>E3</f>
        <v>17.583649896599791</v>
      </c>
      <c r="D79">
        <f>G3</f>
        <v>12.968215551087839</v>
      </c>
      <c r="E79">
        <f>B26</f>
        <v>1.7479364435914548</v>
      </c>
      <c r="F79">
        <f>C26</f>
        <v>3.1943568021519582</v>
      </c>
      <c r="G79">
        <f>D26</f>
        <v>0.48002626858381825</v>
      </c>
      <c r="H79">
        <f t="shared" si="7"/>
        <v>3.0552818108351434</v>
      </c>
      <c r="I79">
        <f t="shared" si="6"/>
        <v>10.203915379454484</v>
      </c>
      <c r="J79">
        <f t="shared" si="6"/>
        <v>0.23042521853050402</v>
      </c>
    </row>
    <row r="80" spans="1:13" x14ac:dyDescent="0.3">
      <c r="A80" t="s">
        <v>13</v>
      </c>
      <c r="B80">
        <f>C15</f>
        <v>23.179107850557131</v>
      </c>
      <c r="C80">
        <f>E15</f>
        <v>39.544602578295233</v>
      </c>
      <c r="D80">
        <f>G15</f>
        <v>29.598686479433365</v>
      </c>
      <c r="E80">
        <f>B38</f>
        <v>2.5311423360909417</v>
      </c>
      <c r="F80">
        <f>C38</f>
        <v>8.0500786002471028</v>
      </c>
      <c r="G80">
        <f>D38</f>
        <v>1.7196238727549624</v>
      </c>
      <c r="H80">
        <f t="shared" si="7"/>
        <v>6.4066815255519103</v>
      </c>
      <c r="I80">
        <f t="shared" si="6"/>
        <v>64.80376547015635</v>
      </c>
      <c r="J80">
        <f t="shared" si="6"/>
        <v>2.9571062637487753</v>
      </c>
    </row>
    <row r="81" spans="1:10" x14ac:dyDescent="0.3">
      <c r="A81" t="s">
        <v>4</v>
      </c>
      <c r="B81">
        <f>C5</f>
        <v>1.9500138042397785</v>
      </c>
      <c r="C81">
        <f>E5</f>
        <v>2.2970087406175721</v>
      </c>
      <c r="D81">
        <f>G5</f>
        <v>1.2704655810742622</v>
      </c>
      <c r="E81">
        <f>B28</f>
        <v>0.16403729046227955</v>
      </c>
      <c r="F81">
        <f>C28</f>
        <v>0.29243472250839697</v>
      </c>
      <c r="G81">
        <f>D28</f>
        <v>0.10608461088541382</v>
      </c>
      <c r="H81">
        <f t="shared" si="7"/>
        <v>2.690823266220627E-2</v>
      </c>
      <c r="I81">
        <f t="shared" si="6"/>
        <v>8.5518066928563133E-2</v>
      </c>
      <c r="J81">
        <f t="shared" si="6"/>
        <v>1.125394466670966E-2</v>
      </c>
    </row>
    <row r="82" spans="1:10" x14ac:dyDescent="0.3">
      <c r="A82" t="s">
        <v>0</v>
      </c>
      <c r="B82">
        <f>C2</f>
        <v>9.7805327616930064</v>
      </c>
      <c r="C82">
        <f>E2</f>
        <v>15.752238678055898</v>
      </c>
      <c r="D82">
        <f>G2</f>
        <v>12.038110979194354</v>
      </c>
      <c r="E82">
        <f>B25</f>
        <v>0.79463130606543475</v>
      </c>
      <c r="F82">
        <f>C25</f>
        <v>2.5891920652142133</v>
      </c>
      <c r="G82">
        <f>D25</f>
        <v>0.41273390115877356</v>
      </c>
      <c r="H82">
        <f t="shared" si="7"/>
        <v>0.63143891257925866</v>
      </c>
      <c r="I82">
        <f t="shared" si="6"/>
        <v>6.7039155505682428</v>
      </c>
      <c r="J82">
        <f t="shared" si="6"/>
        <v>0.17034927316574028</v>
      </c>
    </row>
    <row r="83" spans="1:10" x14ac:dyDescent="0.3">
      <c r="A83" t="s">
        <v>9</v>
      </c>
      <c r="B83">
        <f>C10</f>
        <v>9.3672152609259527</v>
      </c>
      <c r="C83">
        <f>E10</f>
        <v>1.605192326246087</v>
      </c>
      <c r="D83">
        <f>G10</f>
        <v>0.7863290723905707</v>
      </c>
      <c r="E83">
        <f>B33</f>
        <v>1.2447334912224357</v>
      </c>
      <c r="F83">
        <f>C33</f>
        <v>0.50579225971882147</v>
      </c>
      <c r="G83">
        <f>D33</f>
        <v>0.1380153934326544</v>
      </c>
      <c r="H83">
        <f t="shared" si="7"/>
        <v>1.5493614641707933</v>
      </c>
      <c r="I83">
        <f t="shared" si="6"/>
        <v>0.25582580999147175</v>
      </c>
      <c r="J83">
        <f t="shared" si="6"/>
        <v>1.9048248824370381E-2</v>
      </c>
    </row>
    <row r="84" spans="1:10" x14ac:dyDescent="0.3">
      <c r="A84" t="s">
        <v>5</v>
      </c>
      <c r="B84">
        <f>C6</f>
        <v>15.880119821099354</v>
      </c>
      <c r="C84">
        <f>E6</f>
        <v>26.385857610309682</v>
      </c>
      <c r="D84">
        <f>G6</f>
        <v>17.740786762009691</v>
      </c>
      <c r="E84" s="9">
        <f>B29</f>
        <v>2.6409012505565856</v>
      </c>
      <c r="F84" s="9">
        <f>C29</f>
        <v>7.0322017205815017</v>
      </c>
      <c r="G84" s="9">
        <f>D29</f>
        <v>1.3002610869332258</v>
      </c>
      <c r="H84">
        <f t="shared" si="7"/>
        <v>6.974359415191338</v>
      </c>
      <c r="I84">
        <f>F84^2</f>
        <v>49.451861038949431</v>
      </c>
      <c r="J84">
        <f>G84^2</f>
        <v>1.690678894192774</v>
      </c>
    </row>
    <row r="85" spans="1:10" x14ac:dyDescent="0.3">
      <c r="A85" t="s">
        <v>98</v>
      </c>
      <c r="B85">
        <f>SUM(B76:B84)</f>
        <v>87.366336057738238</v>
      </c>
      <c r="C85">
        <f>SUM(C76:C84)</f>
        <v>122.8288655321802</v>
      </c>
      <c r="D85">
        <f>SUM(D76:D84)</f>
        <v>88.190885567317864</v>
      </c>
      <c r="E85">
        <f>SQRT(H85)</f>
        <v>4.5154366184806864</v>
      </c>
      <c r="F85">
        <f>SQRT(I85)</f>
        <v>11.675218313462645</v>
      </c>
      <c r="G85">
        <f>SQRT(J85)</f>
        <v>2.2781382673850534</v>
      </c>
      <c r="H85">
        <f>SUM(H76:H84)</f>
        <v>20.389167855516295</v>
      </c>
      <c r="I85">
        <f>SUM(I76:I84)</f>
        <v>136.31072266701355</v>
      </c>
      <c r="J85">
        <f>SUM(J76:J84)</f>
        <v>5.1899139653241741</v>
      </c>
    </row>
    <row r="86" spans="1:10" x14ac:dyDescent="0.3">
      <c r="A86" t="s">
        <v>101</v>
      </c>
      <c r="B86" s="19">
        <f>B85/C19</f>
        <v>0.43004617354286745</v>
      </c>
      <c r="C86" s="5">
        <f>C85/E19</f>
        <v>0.40056334837316654</v>
      </c>
      <c r="D86" s="5">
        <f>D85/G19</f>
        <v>0.54987194275354412</v>
      </c>
    </row>
    <row r="87" spans="1:10" ht="15" thickBot="1" x14ac:dyDescent="0.35">
      <c r="A87" t="s">
        <v>108</v>
      </c>
      <c r="E87">
        <f>SQRT(E64^2+E68^2+E54^2+E53^2+E65^2+E55^2+E52^2+E60^2+E56^2)</f>
        <v>0.48566817648402116</v>
      </c>
      <c r="F87">
        <f>SQRT(F64^2+F68^2+F54^2+F53^2+F65^2+F55^2+F52^2+F60^2+F56^2)</f>
        <v>0.79619244140031487</v>
      </c>
      <c r="G87">
        <f>SQRT(G64^2+G68^2+G54^2+G53^2+G65^2+G55^2+G52^2+G60^2+G56^2)</f>
        <v>0.26763078457014289</v>
      </c>
    </row>
    <row r="88" spans="1:10" ht="15" thickBot="1" x14ac:dyDescent="0.35">
      <c r="A88" s="23" t="s">
        <v>109</v>
      </c>
      <c r="B88" s="24"/>
      <c r="C88" s="24"/>
      <c r="D88" s="24"/>
      <c r="E88" s="25">
        <f>SQRT((E87/B85)^2+(B42/C19)^2)</f>
        <v>6.8430843815986242E-2</v>
      </c>
      <c r="F88" s="25">
        <f>SQRT((F87/C85)^2+(C42/E19)^2)</f>
        <v>0.16035351444877463</v>
      </c>
      <c r="G88" s="26">
        <f>SQRT((G87/D85)^2+(D42/G19)^2)</f>
        <v>3.9255913263824792E-2</v>
      </c>
    </row>
    <row r="89" spans="1:10" x14ac:dyDescent="0.3">
      <c r="E89" t="s">
        <v>113</v>
      </c>
    </row>
    <row r="90" spans="1:10" x14ac:dyDescent="0.3">
      <c r="A90" s="33" t="s">
        <v>99</v>
      </c>
      <c r="B90" s="34"/>
      <c r="C90" s="34"/>
      <c r="D90" s="34"/>
      <c r="E90" s="34" t="s">
        <v>95</v>
      </c>
      <c r="F90" s="34" t="s">
        <v>96</v>
      </c>
      <c r="G90" s="34" t="s">
        <v>97</v>
      </c>
      <c r="H90" s="34" t="s">
        <v>104</v>
      </c>
      <c r="I90" s="34" t="s">
        <v>105</v>
      </c>
      <c r="J90" s="34" t="s">
        <v>106</v>
      </c>
    </row>
    <row r="91" spans="1:10" x14ac:dyDescent="0.3">
      <c r="A91" s="34" t="s">
        <v>3</v>
      </c>
      <c r="B91" s="34">
        <f t="shared" ref="B91:G92" si="8">B78</f>
        <v>8.9903608926032188</v>
      </c>
      <c r="C91" s="34">
        <f t="shared" si="8"/>
        <v>14.472808295195877</v>
      </c>
      <c r="D91" s="34">
        <f t="shared" si="8"/>
        <v>10.971334986231607</v>
      </c>
      <c r="E91" s="34">
        <f t="shared" si="8"/>
        <v>0.49048935161553248</v>
      </c>
      <c r="F91" s="34">
        <f t="shared" si="8"/>
        <v>2.0228131724005265</v>
      </c>
      <c r="G91" s="34">
        <f t="shared" si="8"/>
        <v>0.2632266209268907</v>
      </c>
      <c r="H91" s="34">
        <f>E91^2</f>
        <v>0.24057980404822546</v>
      </c>
      <c r="I91" s="34">
        <f t="shared" ref="I91:J93" si="9">F91^2</f>
        <v>4.0917731304370824</v>
      </c>
      <c r="J91" s="34">
        <f t="shared" si="9"/>
        <v>6.9288253964589014E-2</v>
      </c>
    </row>
    <row r="92" spans="1:10" x14ac:dyDescent="0.3">
      <c r="A92" s="34" t="s">
        <v>1</v>
      </c>
      <c r="B92" s="34">
        <f t="shared" si="8"/>
        <v>12.738507732331698</v>
      </c>
      <c r="C92" s="34">
        <f t="shared" si="8"/>
        <v>17.583649896599791</v>
      </c>
      <c r="D92" s="34">
        <f t="shared" si="8"/>
        <v>12.968215551087839</v>
      </c>
      <c r="E92" s="34">
        <f t="shared" si="8"/>
        <v>1.7479364435914548</v>
      </c>
      <c r="F92" s="34">
        <f t="shared" si="8"/>
        <v>3.1943568021519582</v>
      </c>
      <c r="G92" s="34">
        <f t="shared" si="8"/>
        <v>0.48002626858381825</v>
      </c>
      <c r="H92" s="34">
        <f>E92^2</f>
        <v>3.0552818108351434</v>
      </c>
      <c r="I92" s="34">
        <f t="shared" si="9"/>
        <v>10.203915379454484</v>
      </c>
      <c r="J92" s="34">
        <f t="shared" si="9"/>
        <v>0.23042521853050402</v>
      </c>
    </row>
    <row r="93" spans="1:10" x14ac:dyDescent="0.3">
      <c r="A93" s="34" t="s">
        <v>5</v>
      </c>
      <c r="B93" s="34">
        <f t="shared" ref="B93:G93" si="10">B84</f>
        <v>15.880119821099354</v>
      </c>
      <c r="C93" s="34">
        <f t="shared" si="10"/>
        <v>26.385857610309682</v>
      </c>
      <c r="D93" s="34">
        <f t="shared" si="10"/>
        <v>17.740786762009691</v>
      </c>
      <c r="E93" s="34">
        <f t="shared" si="10"/>
        <v>2.6409012505565856</v>
      </c>
      <c r="F93" s="34">
        <f t="shared" si="10"/>
        <v>7.0322017205815017</v>
      </c>
      <c r="G93" s="34">
        <f t="shared" si="10"/>
        <v>1.3002610869332258</v>
      </c>
      <c r="H93" s="34">
        <f>E93^2</f>
        <v>6.974359415191338</v>
      </c>
      <c r="I93" s="34">
        <f>F93^2</f>
        <v>49.451861038949431</v>
      </c>
      <c r="J93" s="34">
        <f t="shared" si="9"/>
        <v>1.690678894192774</v>
      </c>
    </row>
    <row r="94" spans="1:10" ht="15" thickBot="1" x14ac:dyDescent="0.35">
      <c r="A94" s="34" t="s">
        <v>98</v>
      </c>
      <c r="B94" s="35">
        <f>SUM(B91:B93)</f>
        <v>37.608988446034274</v>
      </c>
      <c r="C94" s="35">
        <f>SUM(C91:C93)</f>
        <v>58.442315802105355</v>
      </c>
      <c r="D94" s="35">
        <f>SUM(D91:D93)</f>
        <v>41.680337299329139</v>
      </c>
      <c r="E94" s="35"/>
      <c r="F94" s="35"/>
      <c r="G94" s="35"/>
      <c r="H94" s="34">
        <f>SUM(H91:H93)</f>
        <v>10.270221030074707</v>
      </c>
      <c r="I94" s="34">
        <f>SUM(I91:I93)</f>
        <v>63.747549548840993</v>
      </c>
      <c r="J94" s="34">
        <f>SUM(J91:J93)</f>
        <v>1.9903923666878671</v>
      </c>
    </row>
    <row r="95" spans="1:10" ht="15" thickBot="1" x14ac:dyDescent="0.35">
      <c r="A95" s="34" t="s">
        <v>101</v>
      </c>
      <c r="B95" s="36">
        <f>B94/C19</f>
        <v>0.18512395393743217</v>
      </c>
      <c r="C95" s="36">
        <f>C94/E19</f>
        <v>0.19058915510572835</v>
      </c>
      <c r="D95" s="36">
        <f>D94/G19</f>
        <v>0.25987774017657084</v>
      </c>
      <c r="E95" s="37">
        <f>SQRT((H95/B94)^2+(B42/C19)^2)</f>
        <v>0.10914613542952359</v>
      </c>
      <c r="F95" s="38">
        <f>SQRT((I95/C94)^2+(C42/E19)^2)</f>
        <v>0.21055973205300596</v>
      </c>
      <c r="G95" s="39">
        <f>SQRT((J95/D94)^2+(D42/G19)^2)</f>
        <v>5.1744869694173148E-2</v>
      </c>
      <c r="H95" s="34">
        <f>SQRT(H94)</f>
        <v>3.2047185570771588</v>
      </c>
      <c r="I95" s="34">
        <f>SQRT(I94)</f>
        <v>7.9842062566570133</v>
      </c>
      <c r="J95" s="34">
        <f>SQRT(J94)</f>
        <v>1.4108126617974008</v>
      </c>
    </row>
    <row r="97" spans="1:10" x14ac:dyDescent="0.3">
      <c r="A97" s="40" t="s">
        <v>100</v>
      </c>
      <c r="B97" s="40"/>
      <c r="C97" s="40"/>
      <c r="D97" s="40"/>
      <c r="E97" s="40" t="s">
        <v>95</v>
      </c>
      <c r="F97" s="40" t="s">
        <v>96</v>
      </c>
      <c r="G97" s="40" t="s">
        <v>97</v>
      </c>
      <c r="H97" s="40" t="s">
        <v>104</v>
      </c>
      <c r="I97" s="40" t="s">
        <v>105</v>
      </c>
      <c r="J97" s="40" t="s">
        <v>106</v>
      </c>
    </row>
    <row r="98" spans="1:10" x14ac:dyDescent="0.3">
      <c r="A98" s="40" t="s">
        <v>0</v>
      </c>
      <c r="B98" s="40">
        <f t="shared" ref="B98:G98" si="11">B82</f>
        <v>9.7805327616930064</v>
      </c>
      <c r="C98" s="40">
        <f t="shared" si="11"/>
        <v>15.752238678055898</v>
      </c>
      <c r="D98" s="40">
        <f t="shared" si="11"/>
        <v>12.038110979194354</v>
      </c>
      <c r="E98" s="40">
        <f t="shared" si="11"/>
        <v>0.79463130606543475</v>
      </c>
      <c r="F98" s="40">
        <f t="shared" si="11"/>
        <v>2.5891920652142133</v>
      </c>
      <c r="G98" s="40">
        <f t="shared" si="11"/>
        <v>0.41273390115877356</v>
      </c>
      <c r="H98" s="40">
        <f t="shared" ref="H98:J99" si="12">E98^2</f>
        <v>0.63143891257925866</v>
      </c>
      <c r="I98" s="40">
        <f t="shared" si="12"/>
        <v>6.7039155505682428</v>
      </c>
      <c r="J98" s="40">
        <f t="shared" si="12"/>
        <v>0.17034927316574028</v>
      </c>
    </row>
    <row r="99" spans="1:10" x14ac:dyDescent="0.3">
      <c r="A99" s="40" t="s">
        <v>103</v>
      </c>
      <c r="B99" s="40">
        <f>C8</f>
        <v>4.2016394537493911</v>
      </c>
      <c r="C99" s="40">
        <f>E8</f>
        <v>13.04947702255493</v>
      </c>
      <c r="D99" s="40">
        <f>D77</f>
        <v>2.6490924528912534</v>
      </c>
      <c r="E99" s="40">
        <f>E58</f>
        <v>0.11777299178313853</v>
      </c>
      <c r="F99" s="40">
        <f>F58</f>
        <v>0.26332926071826701</v>
      </c>
      <c r="G99" s="40">
        <f>G58</f>
        <v>0.11437612084306616</v>
      </c>
      <c r="H99" s="40">
        <f t="shared" si="12"/>
        <v>1.3870477593551216E-2</v>
      </c>
      <c r="I99" s="40">
        <f t="shared" si="12"/>
        <v>6.9342299550429046E-2</v>
      </c>
      <c r="J99" s="40">
        <f t="shared" si="12"/>
        <v>1.3081897019107672E-2</v>
      </c>
    </row>
    <row r="100" spans="1:10" x14ac:dyDescent="0.3">
      <c r="A100" s="40" t="s">
        <v>98</v>
      </c>
      <c r="B100" s="40">
        <f>SUM(B98:B99)</f>
        <v>13.982172215442397</v>
      </c>
      <c r="C100" s="40">
        <f>SUM(C98:C99)</f>
        <v>28.801715700610828</v>
      </c>
      <c r="D100" s="40">
        <f>SUM(D98:D99)</f>
        <v>14.687203432085607</v>
      </c>
      <c r="E100" s="40"/>
      <c r="F100" s="40"/>
      <c r="G100" s="40"/>
      <c r="H100" s="40">
        <f>SUM(H98:H99)</f>
        <v>0.64530939017280986</v>
      </c>
      <c r="I100" s="40">
        <f>SUM(I98:I99)</f>
        <v>6.7732578501186715</v>
      </c>
      <c r="J100" s="40">
        <f>SUM(J98:J99)</f>
        <v>0.18343117018484795</v>
      </c>
    </row>
    <row r="101" spans="1:10" ht="15" thickBot="1" x14ac:dyDescent="0.35">
      <c r="A101" s="40" t="s">
        <v>101</v>
      </c>
      <c r="B101" s="43">
        <f>B100/C19</f>
        <v>6.882490362299927E-2</v>
      </c>
      <c r="C101" s="43">
        <f>C100/E19</f>
        <v>9.3926713642943277E-2</v>
      </c>
      <c r="D101" s="43">
        <f>D100/G19</f>
        <v>9.1575008379440742E-2</v>
      </c>
      <c r="E101" s="41">
        <f>SQRT(H100)</f>
        <v>0.80331151502565301</v>
      </c>
      <c r="F101" s="42">
        <f>SQRT(I100)</f>
        <v>2.6025483377103051</v>
      </c>
      <c r="G101" s="42">
        <f>SQRT(J100)</f>
        <v>0.42828865287892925</v>
      </c>
      <c r="H101" s="40"/>
      <c r="I101" s="40"/>
      <c r="J101" s="40"/>
    </row>
    <row r="102" spans="1:10" ht="15" thickBot="1" x14ac:dyDescent="0.35">
      <c r="E102" s="27">
        <f>SQRT((E101/B100)^2+(B42/C19)^2)</f>
        <v>8.9177766947235018E-2</v>
      </c>
      <c r="F102" s="28">
        <f>SQRT((F101/C100)^2+(C42/E19)^2)</f>
        <v>0.18394651397636638</v>
      </c>
      <c r="G102" s="26">
        <f>SQRT((G101/D100)^2+(D42/G19)^2)</f>
        <v>4.8807396814625238E-2</v>
      </c>
    </row>
    <row r="103" spans="1:10" ht="15" thickBot="1" x14ac:dyDescent="0.35"/>
    <row r="104" spans="1:10" ht="15" thickBot="1" x14ac:dyDescent="0.35">
      <c r="A104" t="s">
        <v>102</v>
      </c>
      <c r="B104">
        <f>B94/B100</f>
        <v>2.6897815208210352</v>
      </c>
      <c r="C104">
        <f>C94/C100</f>
        <v>2.0291261954532072</v>
      </c>
      <c r="D104">
        <f>D94/D100</f>
        <v>2.8378675009208654</v>
      </c>
      <c r="E104" s="27">
        <f>SQRT((E102/B100)^2+(E95/B94)^2)</f>
        <v>7.007193122275393E-3</v>
      </c>
      <c r="F104" s="28">
        <f>SQRT((F102/C100)^2+(F95/C94)^2)</f>
        <v>7.3327992871407991E-3</v>
      </c>
      <c r="G104" s="29">
        <f>SQRT((G102/D100)^2+(G95/D94)^2)</f>
        <v>3.5474496661732939E-3</v>
      </c>
    </row>
    <row r="119" spans="1:2" x14ac:dyDescent="0.3">
      <c r="A119" t="s">
        <v>117</v>
      </c>
    </row>
    <row r="120" spans="1:2" x14ac:dyDescent="0.3">
      <c r="B120">
        <f>6.25 * 2.32</f>
        <v>14.499999999999998</v>
      </c>
    </row>
    <row r="121" spans="1:2" x14ac:dyDescent="0.3">
      <c r="A121" s="21"/>
      <c r="B121">
        <f>0.1*C19/B120</f>
        <v>1.4010738675030863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1"/>
  <sheetViews>
    <sheetView tabSelected="1" zoomScale="57" zoomScaleNormal="57" workbookViewId="0">
      <selection activeCell="K1" sqref="B1:K1048576"/>
    </sheetView>
  </sheetViews>
  <sheetFormatPr defaultRowHeight="14.4" x14ac:dyDescent="0.3"/>
  <cols>
    <col min="1" max="1" width="18.33203125" bestFit="1" customWidth="1"/>
    <col min="2" max="2" width="17.109375" customWidth="1"/>
    <col min="3" max="3" width="30.5546875" customWidth="1"/>
    <col min="4" max="4" width="19" customWidth="1"/>
    <col min="5" max="5" width="29.33203125" customWidth="1"/>
    <col min="6" max="6" width="22.33203125" customWidth="1"/>
    <col min="7" max="7" width="22.44140625" customWidth="1"/>
    <col min="8" max="8" width="18.88671875" customWidth="1"/>
    <col min="9" max="9" width="36.44140625" customWidth="1"/>
    <col min="10" max="10" width="37" customWidth="1"/>
    <col min="11" max="11" width="23.44140625" customWidth="1"/>
    <col min="12" max="12" width="24.88671875" bestFit="1" customWidth="1"/>
    <col min="13" max="13" width="25.109375" bestFit="1" customWidth="1"/>
    <col min="14" max="14" width="17.6640625" bestFit="1" customWidth="1"/>
    <col min="15" max="15" width="23" bestFit="1" customWidth="1"/>
    <col min="16" max="16" width="22.44140625" bestFit="1" customWidth="1"/>
  </cols>
  <sheetData>
    <row r="1" spans="1:11" x14ac:dyDescent="0.3">
      <c r="A1" s="2" t="s">
        <v>74</v>
      </c>
      <c r="B1" t="s">
        <v>81</v>
      </c>
      <c r="C1" t="s">
        <v>71</v>
      </c>
      <c r="D1" t="s">
        <v>129</v>
      </c>
      <c r="E1" t="s">
        <v>130</v>
      </c>
      <c r="F1" t="s">
        <v>131</v>
      </c>
      <c r="G1" t="s">
        <v>132</v>
      </c>
      <c r="H1" s="45" t="s">
        <v>118</v>
      </c>
      <c r="I1" t="s">
        <v>127</v>
      </c>
      <c r="J1" t="s">
        <v>128</v>
      </c>
      <c r="K1" t="s">
        <v>147</v>
      </c>
    </row>
    <row r="2" spans="1:11" x14ac:dyDescent="0.3">
      <c r="A2" s="3" t="s">
        <v>0</v>
      </c>
      <c r="B2">
        <f>'RAW DATA'!D28</f>
        <v>0.96329237803816836</v>
      </c>
      <c r="C2">
        <f>(B2*AVERAGE([1]Balance!$C$4:$C$5)/AVERAGE([1]Balance!$B$4:$B$5))</f>
        <v>9.7805327616930064</v>
      </c>
      <c r="D2">
        <f>'RAW DATA'!G28</f>
        <v>1.5234360995071792</v>
      </c>
      <c r="E2" s="9">
        <f>Table47[[#This Row],[PP PE RAW  mg/mL]]*AVERAGE([1]Balance!$C$8:$C$9)/AVERAGE([1]Balance!$B$8:$B$9)</f>
        <v>15.752238678055898</v>
      </c>
      <c r="F2" s="9">
        <f>'RAW DATA'!J28</f>
        <v>1.1509541574861737</v>
      </c>
      <c r="G2" s="9">
        <f>Table47[[#This Row],[PP PE SWE mg/ mL]]*AVERAGE([1]Balance!$C$6:$C$7)/AVERAGE([1]Balance!$B$6:$B$7)</f>
        <v>12.038110979194354</v>
      </c>
      <c r="H2" s="45">
        <f>Table47[[#This Row],[Raw mg/ g SCG]]*[2]averages!$J$16</f>
        <v>10.492451958693913</v>
      </c>
      <c r="I2">
        <f>Table47[[#This Row],[PP PE RAW mg/ g PESCG]]*[3]Proximate!$B$17</f>
        <v>16.822245765428168</v>
      </c>
      <c r="J2">
        <f>Table47[[#This Row],[PP PE SWE mg/ g SCG]]*[3]Proximate!$B$15</f>
        <v>12.702845245777539</v>
      </c>
      <c r="K2" s="57">
        <f>Table47[[#This Row],[Raw mg/ g SCG]]/10</f>
        <v>0.9780532761693006</v>
      </c>
    </row>
    <row r="3" spans="1:11" x14ac:dyDescent="0.3">
      <c r="A3" s="4" t="s">
        <v>1</v>
      </c>
      <c r="B3">
        <f>'RAW DATA'!D29</f>
        <v>1.2546256635626571</v>
      </c>
      <c r="C3">
        <f>(B3*AVERAGE([1]Balance!$C$4:$C$5)/AVERAGE([1]Balance!$B$4:$B$5))</f>
        <v>12.738507732331698</v>
      </c>
      <c r="D3">
        <f>'RAW DATA'!G29</f>
        <v>1.7005561914760075</v>
      </c>
      <c r="E3" s="9">
        <f>Table47[[#This Row],[PP PE RAW  mg/mL]]*AVERAGE([1]Balance!$C$8:$C$9)/AVERAGE([1]Balance!$B$8:$B$9)</f>
        <v>17.583649896599791</v>
      </c>
      <c r="F3" s="9">
        <f>'RAW DATA'!J29</f>
        <v>1.2398807113091015</v>
      </c>
      <c r="G3" s="9">
        <f>Table47[[#This Row],[PP PE SWE mg/ mL]]*AVERAGE([1]Balance!$C$6:$C$7)/AVERAGE([1]Balance!$B$6:$B$7)</f>
        <v>12.968215551087839</v>
      </c>
      <c r="H3" s="45">
        <f>Table47[[#This Row],[Raw mg/ g SCG]]*[2]averages!$J$16</f>
        <v>13.665736178547915</v>
      </c>
      <c r="I3">
        <f>Table47[[#This Row],[PP PE RAW mg/ g PESCG]]*[3]Proximate!$B$17</f>
        <v>18.77805980847122</v>
      </c>
      <c r="J3">
        <f>Table47[[#This Row],[PP PE SWE mg/ g SCG]]*[3]Proximate!$B$15</f>
        <v>13.684309402369308</v>
      </c>
      <c r="K3" s="57">
        <f>Table47[[#This Row],[Raw mg/ g SCG]]/10</f>
        <v>1.2738507732331699</v>
      </c>
    </row>
    <row r="4" spans="1:11" x14ac:dyDescent="0.3">
      <c r="A4" s="4" t="s">
        <v>3</v>
      </c>
      <c r="B4">
        <f>'RAW DATA'!D30</f>
        <v>0.88546772805431517</v>
      </c>
      <c r="C4">
        <f>(B4*AVERAGE([1]Balance!$C$4:$C$5)/AVERAGE([1]Balance!$B$4:$B$5))</f>
        <v>8.9903608926032188</v>
      </c>
      <c r="D4">
        <f>'RAW DATA'!G30</f>
        <v>1.3996993740872845</v>
      </c>
      <c r="E4" s="9">
        <f>Table47[[#This Row],[PP PE RAW  mg/mL]]*AVERAGE([1]Balance!$C$8:$C$9)/AVERAGE([1]Balance!$B$8:$B$9)</f>
        <v>14.472808295195877</v>
      </c>
      <c r="F4" s="9">
        <f>'RAW DATA'!J30</f>
        <v>1.0489605584631245</v>
      </c>
      <c r="G4" s="9">
        <f>Table47[[#This Row],[PP PE SWE mg/ mL]]*AVERAGE([1]Balance!$C$6:$C$7)/AVERAGE([1]Balance!$B$6:$B$7)</f>
        <v>10.971334986231607</v>
      </c>
      <c r="H4" s="45">
        <f>Table47[[#This Row],[Raw mg/ g SCG]]*[2]averages!$J$16</f>
        <v>9.6447639464408024</v>
      </c>
      <c r="I4">
        <f>Table47[[#This Row],[PP PE RAW mg/ g PESCG]]*[3]Proximate!$B$17</f>
        <v>15.455907127466174</v>
      </c>
      <c r="J4">
        <f>Table47[[#This Row],[PP PE SWE mg/ g SCG]]*[3]Proximate!$B$15</f>
        <v>11.577162788294219</v>
      </c>
      <c r="K4" s="57">
        <f>Table47[[#This Row],[Raw mg/ g SCG]]/10</f>
        <v>0.89903608926032186</v>
      </c>
    </row>
    <row r="5" spans="1:11" x14ac:dyDescent="0.3">
      <c r="A5" s="3" t="s">
        <v>4</v>
      </c>
      <c r="B5">
        <f>'RAW DATA'!D31</f>
        <v>0.19205839604674413</v>
      </c>
      <c r="C5">
        <f>(B5*AVERAGE([1]Balance!$C$4:$C$5)/AVERAGE([1]Balance!$B$4:$B$5))</f>
        <v>1.9500138042397785</v>
      </c>
      <c r="D5" s="9">
        <f>'RAW DATA'!G31</f>
        <v>0.22214912482345731</v>
      </c>
      <c r="E5" s="9">
        <f>Table47[[#This Row],[PP PE RAW  mg/mL]]*AVERAGE([1]Balance!$C$8:$C$9)/AVERAGE([1]Balance!$B$8:$B$9)</f>
        <v>2.2970087406175721</v>
      </c>
      <c r="F5" s="9">
        <f>'RAW DATA'!J31</f>
        <v>0.1214681975442604</v>
      </c>
      <c r="G5" s="9">
        <f>Table47[[#This Row],[PP PE SWE mg/ mL]]*AVERAGE([1]Balance!$C$6:$C$7)/AVERAGE([1]Balance!$B$6:$B$7)</f>
        <v>1.2704655810742622</v>
      </c>
      <c r="H5" s="45">
        <f>Table47[[#This Row],[Raw mg/ g SCG]]*[2]averages!$J$16</f>
        <v>2.0919541561081729</v>
      </c>
      <c r="I5">
        <f>Table47[[#This Row],[PP PE RAW mg/ g PESCG]]*[3]Proximate!$B$17</f>
        <v>2.4530383490084597</v>
      </c>
      <c r="J5">
        <f>Table47[[#This Row],[PP PE SWE mg/ g SCG]]*[3]Proximate!$B$15</f>
        <v>1.3406196116953604</v>
      </c>
      <c r="K5" s="57">
        <f>Table47[[#This Row],[Raw mg/ g SCG]]/10</f>
        <v>0.19500138042397785</v>
      </c>
    </row>
    <row r="6" spans="1:11" x14ac:dyDescent="0.3">
      <c r="A6" s="4" t="s">
        <v>5</v>
      </c>
      <c r="B6">
        <f>'RAW DATA'!D32</f>
        <v>1.5640455135441835</v>
      </c>
      <c r="C6">
        <f>(B6*AVERAGE([1]Balance!$C$4:$C$5)/AVERAGE([1]Balance!$B$4:$B$5))</f>
        <v>15.880119821099354</v>
      </c>
      <c r="D6" s="9">
        <f>'RAW DATA'!G32</f>
        <v>2.5518384289085083</v>
      </c>
      <c r="E6" s="9">
        <f>Table47[[#This Row],[PP PE RAW  mg/mL]]*AVERAGE([1]Balance!$C$8:$C$9)/AVERAGE([1]Balance!$B$8:$B$9)</f>
        <v>26.385857610309682</v>
      </c>
      <c r="F6" s="9">
        <f>'RAW DATA'!J32</f>
        <v>1.6961824256397784</v>
      </c>
      <c r="G6" s="9">
        <f>Table47[[#This Row],[PP PE SWE mg/ mL]]*AVERAGE([1]Balance!$C$6:$C$7)/AVERAGE([1]Balance!$B$6:$B$7)</f>
        <v>17.740786762009691</v>
      </c>
      <c r="H6" s="45">
        <f>Table47[[#This Row],[Raw mg/ g SCG]]*[2]averages!$J$16</f>
        <v>17.03602435378437</v>
      </c>
      <c r="I6">
        <f>Table47[[#This Row],[PP PE RAW mg/ g PESCG]]*[3]Proximate!$B$17</f>
        <v>28.178177751367329</v>
      </c>
      <c r="J6">
        <f>Table47[[#This Row],[PP PE SWE mg/ g SCG]]*[3]Proximate!$B$15</f>
        <v>18.720417943117344</v>
      </c>
      <c r="K6" s="57">
        <f>Table47[[#This Row],[Raw mg/ g SCG]]/10</f>
        <v>1.5880119821099354</v>
      </c>
    </row>
    <row r="7" spans="1:11" x14ac:dyDescent="0.3">
      <c r="A7" s="3" t="s">
        <v>6</v>
      </c>
      <c r="B7">
        <f>'RAW DATA'!D33</f>
        <v>1.0365917733263001</v>
      </c>
      <c r="C7">
        <f>(B7*AVERAGE([1]Balance!$C$4:$C$5)/AVERAGE([1]Balance!$B$4:$B$5))</f>
        <v>10.524758661713003</v>
      </c>
      <c r="D7" s="9">
        <f>'RAW DATA'!G33</f>
        <v>1.2784280357859117</v>
      </c>
      <c r="E7" s="9">
        <f>Table47[[#This Row],[PP PE RAW  mg/mL]]*AVERAGE([1]Balance!$C$8:$C$9)/AVERAGE([1]Balance!$B$8:$B$9)</f>
        <v>13.218869868537579</v>
      </c>
      <c r="F7" s="9">
        <f>'RAW DATA'!J33</f>
        <v>0.87356489027106177</v>
      </c>
      <c r="G7" s="9">
        <f>Table47[[#This Row],[PP PE SWE mg/ mL]]*AVERAGE([1]Balance!$C$6:$C$7)/AVERAGE([1]Balance!$B$6:$B$7)</f>
        <v>9.1368288026164137</v>
      </c>
      <c r="H7" s="45">
        <f>Table47[[#This Row],[Raw mg/ g SCG]]*[2]averages!$J$16</f>
        <v>11.290849621954116</v>
      </c>
      <c r="I7">
        <f>Table47[[#This Row],[PP PE RAW mg/ g PESCG]]*[3]Proximate!$B$17</f>
        <v>14.116792045535256</v>
      </c>
      <c r="J7">
        <f>Table47[[#This Row],[PP PE SWE mg/ g SCG]]*[3]Proximate!$B$15</f>
        <v>9.6413567309184849</v>
      </c>
      <c r="K7" s="57">
        <f>Table47[[#This Row],[Raw mg/ g SCG]]/10</f>
        <v>1.0524758661713003</v>
      </c>
    </row>
    <row r="8" spans="1:11" x14ac:dyDescent="0.3">
      <c r="A8" s="4" t="s">
        <v>7</v>
      </c>
      <c r="B8">
        <f>'RAW DATA'!D34</f>
        <v>0.41382278038202053</v>
      </c>
      <c r="C8">
        <f>(B8*AVERAGE([1]Balance!$C$4:$C$5)/AVERAGE([1]Balance!$B$4:$B$5))</f>
        <v>4.2016394537493911</v>
      </c>
      <c r="D8" s="9">
        <f>'RAW DATA'!G34</f>
        <v>1.26204565472615</v>
      </c>
      <c r="E8" s="9">
        <f>Table47[[#This Row],[PP PE RAW  mg/mL]]*AVERAGE([1]Balance!$C$8:$C$9)/AVERAGE([1]Balance!$B$8:$B$9)</f>
        <v>13.04947702255493</v>
      </c>
      <c r="F8" s="9">
        <f>'RAW DATA'!J34</f>
        <v>0.91999037602630773</v>
      </c>
      <c r="G8" s="9">
        <f>Table47[[#This Row],[PP PE SWE mg/ mL]]*AVERAGE([1]Balance!$C$6:$C$7)/AVERAGE([1]Balance!$B$6:$B$7)</f>
        <v>9.6224043106847024</v>
      </c>
      <c r="H8" s="45">
        <f>Table47[[#This Row],[Raw mg/ g SCG]]*[2]averages!$J$16</f>
        <v>4.5074743053759008</v>
      </c>
      <c r="I8">
        <f>Table47[[#This Row],[PP PE RAW mg/ g PESCG]]*[3]Proximate!$B$17</f>
        <v>13.935892800401602</v>
      </c>
      <c r="J8">
        <f>Table47[[#This Row],[PP PE SWE mg/ g SCG]]*[3]Proximate!$B$15</f>
        <v>10.153745306234981</v>
      </c>
      <c r="K8" s="57">
        <f>Table47[[#This Row],[Raw mg/ g SCG]]/10</f>
        <v>0.42016394537493912</v>
      </c>
    </row>
    <row r="9" spans="1:11" x14ac:dyDescent="0.3">
      <c r="A9" s="3" t="s">
        <v>8</v>
      </c>
      <c r="B9">
        <f>'RAW DATA'!D35</f>
        <v>1.0976318844434751</v>
      </c>
      <c r="C9">
        <f>(B9*AVERAGE([1]Balance!$C$4:$C$5)/AVERAGE([1]Balance!$B$4:$B$5))</f>
        <v>11.14451318294649</v>
      </c>
      <c r="D9" s="9">
        <f>'RAW DATA'!G35</f>
        <v>1.3730863622144289</v>
      </c>
      <c r="E9" s="9">
        <f>Table47[[#This Row],[PP PE RAW  mg/mL]]*AVERAGE([1]Balance!$C$8:$C$9)/AVERAGE([1]Balance!$B$8:$B$9)</f>
        <v>14.197631334968422</v>
      </c>
      <c r="F9" s="9">
        <f>'RAW DATA'!J35</f>
        <v>0.8690498547186164</v>
      </c>
      <c r="G9" s="9">
        <f>Table47[[#This Row],[PP PE SWE mg/ mL]]*AVERAGE([1]Balance!$C$6:$C$7)/AVERAGE([1]Balance!$B$6:$B$7)</f>
        <v>9.0896049416990863</v>
      </c>
      <c r="H9" s="45">
        <f>Table47[[#This Row],[Raw mg/ g SCG]]*[2]averages!$J$16</f>
        <v>11.955715708359422</v>
      </c>
      <c r="I9">
        <f>Table47[[#This Row],[PP PE RAW mg/ g PESCG]]*[3]Proximate!$B$17</f>
        <v>15.162038138521867</v>
      </c>
      <c r="J9">
        <f>Table47[[#This Row],[PP PE SWE mg/ g SCG]]*[3]Proximate!$B$15</f>
        <v>9.5915252084995846</v>
      </c>
      <c r="K9" s="57">
        <f>Table47[[#This Row],[Raw mg/ g SCG]]/10</f>
        <v>1.1144513182946489</v>
      </c>
    </row>
    <row r="10" spans="1:11" x14ac:dyDescent="0.3">
      <c r="A10" s="4" t="s">
        <v>9</v>
      </c>
      <c r="B10">
        <f>'RAW DATA'!D36</f>
        <v>0.92258441172389083</v>
      </c>
      <c r="C10">
        <f>(B10*AVERAGE([1]Balance!$C$4:$C$5)/AVERAGE([1]Balance!$B$4:$B$5))</f>
        <v>9.3672152609259527</v>
      </c>
      <c r="D10" s="9">
        <f>'RAW DATA'!G36</f>
        <v>0.15524193014303667</v>
      </c>
      <c r="E10" s="9">
        <f>Table47[[#This Row],[PP PE RAW  mg/mL]]*AVERAGE([1]Balance!$C$8:$C$9)/AVERAGE([1]Balance!$B$8:$B$9)</f>
        <v>1.605192326246087</v>
      </c>
      <c r="F10" s="9">
        <f>'RAW DATA'!J36</f>
        <v>7.5180293368647982E-2</v>
      </c>
      <c r="G10" s="9">
        <f>Table47[[#This Row],[PP PE SWE mg/ mL]]*AVERAGE([1]Balance!$C$6:$C$7)/AVERAGE([1]Balance!$B$6:$B$7)</f>
        <v>0.7863290723905707</v>
      </c>
      <c r="H10" s="45">
        <f>Table47[[#This Row],[Raw mg/ g SCG]]*[2]averages!$J$16</f>
        <v>10.049049321419268</v>
      </c>
      <c r="I10">
        <f>Table47[[#This Row],[PP PE RAW mg/ g PESCG]]*[3]Proximate!$B$17</f>
        <v>1.7142287115359822</v>
      </c>
      <c r="J10">
        <f>Table47[[#This Row],[PP PE SWE mg/ g SCG]]*[3]Proximate!$B$15</f>
        <v>0.82974949608760851</v>
      </c>
      <c r="K10" s="57">
        <f>Table47[[#This Row],[Raw mg/ g SCG]]/10</f>
        <v>0.93672152609259529</v>
      </c>
    </row>
    <row r="11" spans="1:11" x14ac:dyDescent="0.3">
      <c r="A11" s="3" t="s">
        <v>10</v>
      </c>
      <c r="B11">
        <f>'RAW DATA'!D37</f>
        <v>1.0316073574600126</v>
      </c>
      <c r="C11">
        <f>(B11*AVERAGE([1]Balance!$C$4:$C$5)/AVERAGE([1]Balance!$B$4:$B$5))</f>
        <v>10.474150721912409</v>
      </c>
      <c r="D11" s="9">
        <f>'RAW DATA'!G37</f>
        <v>0.97975515422982495</v>
      </c>
      <c r="E11" s="9">
        <f>Table47[[#This Row],[PP PE RAW  mg/mL]]*AVERAGE([1]Balance!$C$8:$C$9)/AVERAGE([1]Balance!$B$8:$B$9)</f>
        <v>10.130610033775783</v>
      </c>
      <c r="F11" s="9">
        <f>'RAW DATA'!J37</f>
        <v>0.55760999242439413</v>
      </c>
      <c r="G11" s="9">
        <f>Table47[[#This Row],[PP PE SWE mg/ mL]]*AVERAGE([1]Balance!$C$6:$C$7)/AVERAGE([1]Balance!$B$6:$B$7)</f>
        <v>5.8321792647012671</v>
      </c>
      <c r="H11" s="45">
        <f>Table47[[#This Row],[Raw mg/ g SCG]]*[2]averages!$J$16</f>
        <v>11.236557960137292</v>
      </c>
      <c r="I11">
        <f>Table47[[#This Row],[PP PE RAW mg/ g PESCG]]*[3]Proximate!$B$17</f>
        <v>10.81875504967409</v>
      </c>
      <c r="J11">
        <f>Table47[[#This Row],[PP PE SWE mg/ g SCG]]*[3]Proximate!$B$15</f>
        <v>6.1542272515326948</v>
      </c>
      <c r="K11" s="57">
        <f>Table47[[#This Row],[Raw mg/ g SCG]]/10</f>
        <v>1.047415072191241</v>
      </c>
    </row>
    <row r="12" spans="1:11" x14ac:dyDescent="0.3">
      <c r="A12" s="4" t="s">
        <v>26</v>
      </c>
      <c r="B12">
        <f>'RAW DATA'!D38</f>
        <v>4.9875286529853495</v>
      </c>
      <c r="C12">
        <f>(B12*AVERAGE([1]Balance!$C$4:$C$5)/AVERAGE([1]Balance!$B$4:$B$5))</f>
        <v>50.639544651803497</v>
      </c>
      <c r="D12" s="9">
        <f>'RAW DATA'!G38</f>
        <v>8.6990487875550624</v>
      </c>
      <c r="E12" s="9">
        <f>Table47[[#This Row],[PP PE RAW  mg/mL]]*AVERAGE([1]Balance!$C$8:$C$9)/AVERAGE([1]Balance!$B$8:$B$9)</f>
        <v>89.947647175978176</v>
      </c>
      <c r="F12" s="9">
        <f>'RAW DATA'!J38</f>
        <v>3.2416501782750786</v>
      </c>
      <c r="G12" s="9">
        <f>Table47[[#This Row],[PP PE SWE mg/ mL]]*AVERAGE([1]Balance!$C$6:$C$7)/AVERAGE([1]Balance!$B$6:$B$7)</f>
        <v>33.905211904384075</v>
      </c>
      <c r="H12" s="45">
        <f>Table47[[#This Row],[Raw mg/ g SCG]]*[2]averages!$J$16</f>
        <v>54.325567166466904</v>
      </c>
      <c r="I12">
        <f>Table47[[#This Row],[PP PE RAW mg/ g PESCG]]*[3]Proximate!$B$17</f>
        <v>96.05754824704519</v>
      </c>
      <c r="J12">
        <f>Table47[[#This Row],[PP PE SWE mg/ g SCG]]*[3]Proximate!$B$15</f>
        <v>35.777428916468516</v>
      </c>
      <c r="K12" s="57">
        <f>Table47[[#This Row],[Raw mg/ g SCG]]/10</f>
        <v>5.0639544651803501</v>
      </c>
    </row>
    <row r="13" spans="1:11" x14ac:dyDescent="0.3">
      <c r="A13" s="3" t="s">
        <v>11</v>
      </c>
      <c r="B13">
        <f>'RAW DATA'!D39</f>
        <v>0.63247068816593277</v>
      </c>
      <c r="C13">
        <f>(B13*AVERAGE([1]Balance!$C$4:$C$5)/AVERAGE([1]Balance!$B$4:$B$5))</f>
        <v>6.4216227881046555</v>
      </c>
      <c r="D13" s="9">
        <f>'RAW DATA'!G39</f>
        <v>0.13929076718412087</v>
      </c>
      <c r="E13" s="9">
        <f>Table47[[#This Row],[PP PE RAW  mg/mL]]*AVERAGE([1]Balance!$C$8:$C$9)/AVERAGE([1]Balance!$B$8:$B$9)</f>
        <v>1.4402582497838783</v>
      </c>
      <c r="F13" s="9">
        <f>'RAW DATA'!J39</f>
        <v>7.5400083336763193E-2</v>
      </c>
      <c r="G13" s="9">
        <f>Table47[[#This Row],[PP PE SWE mg/ mL]]*AVERAGE([1]Balance!$C$6:$C$7)/AVERAGE([1]Balance!$B$6:$B$7)</f>
        <v>0.78862790941294469</v>
      </c>
      <c r="H13" s="45">
        <f>Table47[[#This Row],[Raw mg/ g SCG]]*[2]averages!$J$16</f>
        <v>6.8890489140776578</v>
      </c>
      <c r="I13">
        <f>Table47[[#This Row],[PP PE RAW mg/ g PESCG]]*[3]Proximate!$B$17</f>
        <v>1.5380911081103577</v>
      </c>
      <c r="J13">
        <f>Table47[[#This Row],[PP PE SWE mg/ g SCG]]*[3]Proximate!$B$15</f>
        <v>0.83217527293839111</v>
      </c>
      <c r="K13" s="57">
        <f>Table47[[#This Row],[Raw mg/ g SCG]]/10</f>
        <v>0.6421622788104655</v>
      </c>
    </row>
    <row r="14" spans="1:11" x14ac:dyDescent="0.3">
      <c r="A14" s="4" t="s">
        <v>12</v>
      </c>
      <c r="B14">
        <f>'RAW DATA'!D40</f>
        <v>0.15590667413314319</v>
      </c>
      <c r="C14">
        <f>(B14*AVERAGE([1]Balance!$C$4:$C$5)/AVERAGE([1]Balance!$B$4:$B$5))</f>
        <v>1.582956918263277</v>
      </c>
      <c r="D14" s="9">
        <f>'RAW DATA'!G40</f>
        <v>8.8833117638729864E-2</v>
      </c>
      <c r="E14" s="9">
        <f>Table47[[#This Row],[PP PE RAW  mg/mL]]*AVERAGE([1]Balance!$C$8:$C$9)/AVERAGE([1]Balance!$B$8:$B$9)</f>
        <v>0.91852915393941403</v>
      </c>
      <c r="F14" s="9">
        <f>'RAW DATA'!J40</f>
        <v>1.6049314315049665E-2</v>
      </c>
      <c r="G14" s="9">
        <f>Table47[[#This Row],[PP PE SWE mg/ mL]]*AVERAGE([1]Balance!$C$6:$C$7)/AVERAGE([1]Balance!$B$6:$B$7)</f>
        <v>0.16786370300492304</v>
      </c>
      <c r="H14" s="45">
        <f>Table47[[#This Row],[Raw mg/ g SCG]]*[2]averages!$J$16</f>
        <v>1.6981794164231778</v>
      </c>
      <c r="I14">
        <f>Table47[[#This Row],[PP PE RAW mg/ g PESCG]]*[3]Proximate!$B$17</f>
        <v>0.98092236196275295</v>
      </c>
      <c r="J14">
        <f>Table47[[#This Row],[PP PE SWE mg/ g SCG]]*[3]Proximate!$B$15</f>
        <v>0.17713299415000125</v>
      </c>
      <c r="K14" s="57">
        <f>Table47[[#This Row],[Raw mg/ g SCG]]/10</f>
        <v>0.15829569182632769</v>
      </c>
    </row>
    <row r="15" spans="1:11" x14ac:dyDescent="0.3">
      <c r="A15" s="3" t="s">
        <v>13</v>
      </c>
      <c r="B15">
        <f>'RAW DATA'!D41</f>
        <v>2.2829285956301364</v>
      </c>
      <c r="C15">
        <f>(B15*AVERAGE([1]Balance!$C$4:$C$5)/AVERAGE([1]Balance!$B$4:$B$5))</f>
        <v>23.179107850557131</v>
      </c>
      <c r="D15" s="9">
        <f>'RAW DATA'!G41</f>
        <v>3.8244516439662504</v>
      </c>
      <c r="E15" s="9">
        <f>Table47[[#This Row],[PP PE RAW  mg/mL]]*AVERAGE([1]Balance!$C$8:$C$9)/AVERAGE([1]Balance!$B$8:$B$9)</f>
        <v>39.544602578295233</v>
      </c>
      <c r="F15" s="9">
        <f>'RAW DATA'!J41</f>
        <v>2.8299067285981718</v>
      </c>
      <c r="G15" s="9">
        <f>Table47[[#This Row],[PP PE SWE mg/ mL]]*AVERAGE([1]Balance!$C$6:$C$7)/AVERAGE([1]Balance!$B$6:$B$7)</f>
        <v>29.598686479433365</v>
      </c>
      <c r="H15" s="45">
        <f>Table47[[#This Row],[Raw mg/ g SCG]]*[2]averages!$J$16</f>
        <v>24.866301406392591</v>
      </c>
      <c r="I15">
        <f>Table47[[#This Row],[PP PE RAW mg/ g PESCG]]*[3]Proximate!$B$17</f>
        <v>42.230760774021469</v>
      </c>
      <c r="J15">
        <f>Table47[[#This Row],[PP PE SWE mg/ g SCG]]*[3]Proximate!$B$15</f>
        <v>31.233100814268521</v>
      </c>
      <c r="K15" s="57">
        <f>Table47[[#This Row],[Raw mg/ g SCG]]/10</f>
        <v>2.3179107850557132</v>
      </c>
    </row>
    <row r="16" spans="1:11" x14ac:dyDescent="0.3">
      <c r="A16" s="4" t="s">
        <v>14</v>
      </c>
      <c r="B16">
        <f>'RAW DATA'!B42</f>
        <v>4.1855074483333338E-2</v>
      </c>
      <c r="C16">
        <f>(B16*AVERAGE([1]Balance!$C$4:$C$5)/AVERAGE([1]Balance!$B$4:$B$5))</f>
        <v>0.42496435823674966</v>
      </c>
      <c r="D16" s="9">
        <f>'RAW DATA'!E42</f>
        <v>9.5922657466666658E-2</v>
      </c>
      <c r="E16" s="9">
        <f>Table47[[#This Row],[PP PE RAW  mg/mL]]*AVERAGE([1]Balance!$C$8:$C$9)/AVERAGE([1]Balance!$B$8:$B$9)</f>
        <v>0.99183457418209453</v>
      </c>
      <c r="F16" s="9">
        <f>'RAW DATA'!H42</f>
        <v>8.872774768333333E-2</v>
      </c>
      <c r="G16" s="9">
        <f>Table47[[#This Row],[PP PE SWE mg/ mL]]*AVERAGE([1]Balance!$C$6:$C$7)/AVERAGE([1]Balance!$B$6:$B$7)</f>
        <v>0.92802520986484427</v>
      </c>
      <c r="H16" s="45">
        <f>Table47[[#This Row],[Raw mg/ g SCG]]*[2]averages!$J$16</f>
        <v>0.45589726261337615</v>
      </c>
      <c r="I16">
        <f>Table47[[#This Row],[PP PE RAW mg/ g PESCG]]*[3]Proximate!$B$17</f>
        <v>1.0592072216873745</v>
      </c>
      <c r="J16">
        <f>Table47[[#This Row],[PP PE SWE mg/ g SCG]]*[3]Proximate!$B$15</f>
        <v>0.97926997395751569</v>
      </c>
      <c r="K16" s="57">
        <f>Table47[[#This Row],[Raw mg/ g SCG]]/10</f>
        <v>4.2496435823674968E-2</v>
      </c>
    </row>
    <row r="17" spans="1:16" x14ac:dyDescent="0.3">
      <c r="A17" s="3" t="s">
        <v>27</v>
      </c>
      <c r="B17">
        <f>'RAW DATA'!D43</f>
        <v>2.1626785394258858</v>
      </c>
      <c r="C17">
        <f>(B17*AVERAGE([1]Balance!$C$4:$C$5)/AVERAGE([1]Balance!$B$4:$B$5))</f>
        <v>21.958180911743025</v>
      </c>
      <c r="D17" s="9">
        <f>'RAW DATA'!G43</f>
        <v>3.9492593418109014</v>
      </c>
      <c r="E17" s="9">
        <f>Table47[[#This Row],[PP PE RAW  mg/mL]]*AVERAGE([1]Balance!$C$8:$C$9)/AVERAGE([1]Balance!$B$8:$B$9)</f>
        <v>40.835106752342064</v>
      </c>
      <c r="F17" s="9">
        <f>'RAW DATA'!J43</f>
        <v>0.27637170804272215</v>
      </c>
      <c r="G17" s="9">
        <f>Table47[[#This Row],[PP PE SWE mg/ mL]]*AVERAGE([1]Balance!$C$6:$C$7)/AVERAGE([1]Balance!$B$6:$B$7)</f>
        <v>2.8906392763673185</v>
      </c>
      <c r="H17" s="45">
        <f>Table47[[#This Row],[Raw mg/ g SCG]]*[2]averages!$J$16</f>
        <v>23.556503917573103</v>
      </c>
      <c r="I17">
        <f>Table47[[#This Row],[PP PE RAW mg/ g PESCG]]*[3]Proximate!$B$17</f>
        <v>43.608925415938003</v>
      </c>
      <c r="J17">
        <f>Table47[[#This Row],[PP PE SWE mg/ g SCG]]*[3]Proximate!$B$15</f>
        <v>3.0502579227358018</v>
      </c>
      <c r="K17" s="57">
        <f>Table47[[#This Row],[Raw mg/ g SCG]]/10</f>
        <v>2.1958180911743024</v>
      </c>
    </row>
    <row r="18" spans="1:16" x14ac:dyDescent="0.3">
      <c r="A18" s="4" t="s">
        <v>28</v>
      </c>
      <c r="B18">
        <f>'RAW DATA'!D44</f>
        <v>0.38386991582761126</v>
      </c>
      <c r="C18">
        <f>(B18*AVERAGE([1]Balance!$C$4:$C$5)/AVERAGE([1]Balance!$B$4:$B$5))</f>
        <v>3.8975210160248221</v>
      </c>
      <c r="D18" s="9">
        <f>'RAW DATA'!G44</f>
        <v>0.41286294040035754</v>
      </c>
      <c r="E18" s="9">
        <f>Table47[[#This Row],[PP PE RAW  mg/mL]]*AVERAGE([1]Balance!$C$8:$C$9)/AVERAGE([1]Balance!$B$8:$B$9)</f>
        <v>4.268978252920645</v>
      </c>
      <c r="F18" s="9">
        <f>'RAW DATA'!J44</f>
        <v>0.2532776095427296</v>
      </c>
      <c r="G18" s="9">
        <f>Table47[[#This Row],[PP PE SWE mg/ mL]]*AVERAGE([1]Balance!$C$6:$C$7)/AVERAGE([1]Balance!$B$6:$B$7)</f>
        <v>2.6490924528912534</v>
      </c>
      <c r="H18" s="45">
        <f>Table47[[#This Row],[Raw mg/ g SCG]]*[2]averages!$J$16</f>
        <v>4.1812192663788492</v>
      </c>
      <c r="I18">
        <f>Table47[[#This Row],[PP PE RAW mg/ g PESCG]]*[3]Proximate!$B$17</f>
        <v>4.5589584316000433</v>
      </c>
      <c r="J18">
        <f>Table47[[#This Row],[PP PE SWE mg/ g SCG]]*[3]Proximate!$B$15</f>
        <v>2.795373088767362</v>
      </c>
      <c r="K18" s="57">
        <f>Table47[[#This Row],[Raw mg/ g SCG]]/10</f>
        <v>0.38975210160248219</v>
      </c>
    </row>
    <row r="19" spans="1:16" x14ac:dyDescent="0.3">
      <c r="A19" s="6" t="s">
        <v>73</v>
      </c>
      <c r="C19">
        <f>SUM(C2:C18)</f>
        <v>203.15571078794744</v>
      </c>
      <c r="D19" s="9"/>
      <c r="E19" s="9">
        <f>SUM(E2:E18)</f>
        <v>306.64030054430316</v>
      </c>
      <c r="F19" s="9">
        <f>'RAW DATA'!H45</f>
        <v>0</v>
      </c>
      <c r="G19" s="9">
        <f>SUM(G2:G18)</f>
        <v>160.38440718704854</v>
      </c>
      <c r="H19" s="45">
        <f>Table47[[#This Row],[Raw mg/ g SCG]]*[2]averages!$J$16</f>
        <v>217.94329486074682</v>
      </c>
      <c r="I19">
        <f>Table47[[#This Row],[PP PE RAW mg/ g PESCG]]*[3]Proximate!$B$17</f>
        <v>327.46954910777538</v>
      </c>
      <c r="J19">
        <f>Table47[[#This Row],[PP PE SWE mg/ g SCG]]*[3]Proximate!$B$15</f>
        <v>169.24069796781325</v>
      </c>
      <c r="K19" s="57">
        <f>Table47[[#This Row],[Raw mg/ g SCG]]/10</f>
        <v>20.315571078794743</v>
      </c>
    </row>
    <row r="20" spans="1:16" x14ac:dyDescent="0.3">
      <c r="A20" t="s">
        <v>86</v>
      </c>
      <c r="B20" s="30"/>
      <c r="C20" s="31">
        <f>C19/1000</f>
        <v>0.20315571078794745</v>
      </c>
      <c r="D20" s="30"/>
      <c r="E20" s="31">
        <f>E19/1000</f>
        <v>0.30664030054430313</v>
      </c>
      <c r="F20" s="30"/>
      <c r="G20" s="31">
        <f>G19/1000</f>
        <v>0.16038440718704855</v>
      </c>
      <c r="H20" s="31">
        <f>H19/1000</f>
        <v>0.21794329486074682</v>
      </c>
      <c r="I20" s="31">
        <f>I19/1000</f>
        <v>0.32746954910777537</v>
      </c>
      <c r="J20" s="31">
        <f>J19/1000</f>
        <v>0.16924069796781324</v>
      </c>
      <c r="K20" s="59"/>
    </row>
    <row r="21" spans="1:16" x14ac:dyDescent="0.3">
      <c r="A21" t="s">
        <v>87</v>
      </c>
      <c r="E21" s="18">
        <f>Table47[[#Totals],[PP PE RAW mg/ g PESCG]]*[1]Balance!$O$8</f>
        <v>0.17466728893678737</v>
      </c>
      <c r="G21" s="5">
        <f>Table47[[#Totals],[PP PE SWE mg/ g SCG]]*[1]Balance!$O$6</f>
        <v>8.2350333406226578E-2</v>
      </c>
    </row>
    <row r="22" spans="1:16" x14ac:dyDescent="0.3">
      <c r="B22" s="60" t="s">
        <v>125</v>
      </c>
      <c r="C22" s="60"/>
      <c r="D22" s="60"/>
      <c r="E22" s="60"/>
      <c r="F22" s="60"/>
      <c r="G22" s="60"/>
      <c r="H22" s="60" t="s">
        <v>124</v>
      </c>
      <c r="I22" s="60"/>
      <c r="J22" s="60"/>
      <c r="K22" s="60"/>
      <c r="L22" s="60"/>
      <c r="M22" s="60"/>
    </row>
    <row r="23" spans="1:16" x14ac:dyDescent="0.3">
      <c r="A23" s="32" t="s">
        <v>89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6" x14ac:dyDescent="0.3">
      <c r="A24" s="2" t="s">
        <v>74</v>
      </c>
      <c r="B24" t="s">
        <v>88</v>
      </c>
      <c r="C24" t="s">
        <v>137</v>
      </c>
      <c r="D24" t="s">
        <v>132</v>
      </c>
      <c r="E24" t="s">
        <v>104</v>
      </c>
      <c r="F24" t="s">
        <v>105</v>
      </c>
      <c r="G24" t="s">
        <v>106</v>
      </c>
      <c r="H24" s="45" t="s">
        <v>118</v>
      </c>
      <c r="I24" t="s">
        <v>133</v>
      </c>
      <c r="J24" t="s">
        <v>134</v>
      </c>
      <c r="K24" t="s">
        <v>123</v>
      </c>
      <c r="L24" t="s">
        <v>135</v>
      </c>
      <c r="M24" t="s">
        <v>136</v>
      </c>
      <c r="N24" t="s">
        <v>138</v>
      </c>
      <c r="O24" t="s">
        <v>139</v>
      </c>
      <c r="P24" t="s">
        <v>140</v>
      </c>
    </row>
    <row r="25" spans="1:16" x14ac:dyDescent="0.3">
      <c r="A25" s="3" t="s">
        <v>0</v>
      </c>
      <c r="B25">
        <f>(('RAW DATA'!C28/'RAW DATA'!O28)*AVERAGE([1]Balance!$C$4:$C$5))/AVERAGE([1]Balance!$B$4:$B$5)</f>
        <v>0.79463130606543475</v>
      </c>
      <c r="C25">
        <f>('RAW DATA'!F28/'RAW DATA'!O28)*AVERAGE([1]Balance!$C$8:$C$9)/AVERAGE([1]Balance!$B$8:$B$9)</f>
        <v>2.5891920652142133</v>
      </c>
      <c r="D25">
        <f>('RAW DATA'!I28/'RAW DATA'!O28)*AVERAGE([1]Balance!$C$6:$C$7)/AVERAGE([1]Balance!$B$6:$B$7)</f>
        <v>0.41273390115877356</v>
      </c>
      <c r="E25">
        <f t="shared" ref="E25:E41" si="0">B25^2</f>
        <v>0.63143891257925866</v>
      </c>
      <c r="F25">
        <f t="shared" ref="F25:G40" si="1">C25^2</f>
        <v>6.7039155505682428</v>
      </c>
      <c r="G25">
        <f t="shared" si="1"/>
        <v>0.17034927316574028</v>
      </c>
      <c r="H25" s="45">
        <f>H2*SQRT((Table7[[#This Row],[RAW mg/ g SCG]]/C2)^2+([2]averages!$K$16/[2]averages!$J$16)^2)</f>
        <v>0.85255564846629606</v>
      </c>
      <c r="I25">
        <f>I2*SQRT((Table7[[#This Row],[PP PE Raw mg/ g SCG]]/E2)^2+([3]Proximate!$C$17/[3]Proximate!$B$17)^2)</f>
        <v>2.7674366112173314</v>
      </c>
      <c r="J25">
        <f>J2*SQRT((Table7[[#This Row],[PP PE SWE mg/ g SCG]]/G2)^2+([3]Proximate!$C$15/[3]Proximate!$B$15)^2)</f>
        <v>0.47643113761558337</v>
      </c>
      <c r="K25">
        <f>Table7[[#This Row],[raw mg/ g SCg DB]]^2</f>
        <v>0.72685113373178656</v>
      </c>
      <c r="L25">
        <f>Table7[[#This Row],[PP pe raw mg/ g DB]]^2</f>
        <v>7.6587053971060675</v>
      </c>
      <c r="M25">
        <f>Table7[[#This Row],[PP pe swe mg/g db]]^2</f>
        <v>0.22698662888967894</v>
      </c>
      <c r="N25">
        <f>([2]averages!$K$16)^2</f>
        <v>1.4900809726699581E-6</v>
      </c>
      <c r="O25">
        <f>([3]Proximate!$C$16)^2</f>
        <v>5.725703374662482E-4</v>
      </c>
      <c r="P25">
        <f>(([3]Proximate!$C$15)^2)</f>
        <v>2.5742375006573544E-4</v>
      </c>
    </row>
    <row r="26" spans="1:16" x14ac:dyDescent="0.3">
      <c r="A26" s="4" t="s">
        <v>1</v>
      </c>
      <c r="B26">
        <f>(('RAW DATA'!C29/'RAW DATA'!O29)*AVERAGE([1]Balance!$C$4:$C$5))/AVERAGE([1]Balance!$B$4:$B$5)</f>
        <v>3.4958728871829097</v>
      </c>
      <c r="C26">
        <f>('RAW DATA'!F29/'RAW DATA'!O29)*AVERAGE([1]Balance!$C$8:$C$9)/AVERAGE([1]Balance!$B$8:$B$9)</f>
        <v>6.3887136043039163</v>
      </c>
      <c r="D26">
        <f>('RAW DATA'!I29/'RAW DATA'!O29)*AVERAGE([1]Balance!$C$6:$C$7)/AVERAGE([1]Balance!$B$6:$B$7)</f>
        <v>0.9600525371676365</v>
      </c>
      <c r="E26">
        <f t="shared" si="0"/>
        <v>12.221127243340574</v>
      </c>
      <c r="F26">
        <f t="shared" si="1"/>
        <v>40.815661517817936</v>
      </c>
      <c r="G26">
        <f t="shared" si="1"/>
        <v>0.92170087412201607</v>
      </c>
      <c r="H26" s="45">
        <f>H3*SQRT((Table7[[#This Row],[RAW mg/ g SCG]]/C3)^2+([2]averages!$K$16/[2]averages!$J$16)^2)</f>
        <v>3.750367643998775</v>
      </c>
      <c r="I26">
        <f>I3*SQRT((Table7[[#This Row],[PP PE Raw mg/ g SCG]]/E3)^2+([3]Proximate!$C$17/[3]Proximate!$B$17)^2)</f>
        <v>6.8238777706489504</v>
      </c>
      <c r="J26">
        <f>J3*SQRT((Table7[[#This Row],[PP PE SWE mg/ g SCG]]/G3)^2+([3]Proximate!$C$15/[3]Proximate!$B$15)^2)</f>
        <v>1.0342120197725875</v>
      </c>
      <c r="K26">
        <f>Table7[[#This Row],[raw mg/ g SCg DB]]^2</f>
        <v>14.065257465152921</v>
      </c>
      <c r="L26">
        <f>Table7[[#This Row],[PP pe raw mg/ g DB]]^2</f>
        <v>46.565307828756886</v>
      </c>
      <c r="M26">
        <f>Table7[[#This Row],[PP pe swe mg/g db]]^2</f>
        <v>1.0695945018420949</v>
      </c>
    </row>
    <row r="27" spans="1:16" x14ac:dyDescent="0.3">
      <c r="A27" s="3" t="s">
        <v>3</v>
      </c>
      <c r="B27">
        <f>(('RAW DATA'!C30/'RAW DATA'!O30)*AVERAGE([1]Balance!$C$4:$C$5))/AVERAGE([1]Balance!$B$4:$B$5)</f>
        <v>0.49048935161553248</v>
      </c>
      <c r="C27">
        <f>('RAW DATA'!F30/'RAW DATA'!O30)*AVERAGE([1]Balance!$C$8:$C$9)/AVERAGE([1]Balance!$B$8:$B$9)</f>
        <v>2.0228131724005265</v>
      </c>
      <c r="D27">
        <f>('RAW DATA'!I30/'RAW DATA'!O30)*AVERAGE([1]Balance!$C$6:$C$7)/AVERAGE([1]Balance!$B$6:$B$7)</f>
        <v>0.2632266209268907</v>
      </c>
      <c r="E27">
        <f t="shared" si="0"/>
        <v>0.24057980404822546</v>
      </c>
      <c r="F27">
        <f t="shared" si="1"/>
        <v>4.0917731304370824</v>
      </c>
      <c r="G27">
        <f t="shared" si="1"/>
        <v>6.9288253964589014E-2</v>
      </c>
      <c r="H27" s="45">
        <f>H4*SQRT((Table7[[#This Row],[RAW mg/ g SCG]]/C4)^2+([2]averages!$K$16/[2]averages!$J$16)^2)</f>
        <v>0.52630621229480956</v>
      </c>
      <c r="I27">
        <f>I4*SQRT((Table7[[#This Row],[PP PE Raw mg/ g SCG]]/E4)^2+([3]Proximate!$C$17/[3]Proximate!$B$17)^2)</f>
        <v>2.1627753377216692</v>
      </c>
      <c r="J27">
        <f>J4*SQRT((Table7[[#This Row],[PP PE SWE mg/ g SCG]]/G4)^2+([3]Proximate!$C$15/[3]Proximate!$B$15)^2)</f>
        <v>0.32884304421240473</v>
      </c>
      <c r="K27">
        <f>Table7[[#This Row],[raw mg/ g SCg DB]]^2</f>
        <v>0.27699822910010913</v>
      </c>
      <c r="L27">
        <f>Table7[[#This Row],[PP pe raw mg/ g DB]]^2</f>
        <v>4.6775971614570802</v>
      </c>
      <c r="M27">
        <f>Table7[[#This Row],[PP pe swe mg/g db]]^2</f>
        <v>0.10813774772688158</v>
      </c>
    </row>
    <row r="28" spans="1:16" x14ac:dyDescent="0.3">
      <c r="A28" s="3" t="s">
        <v>4</v>
      </c>
      <c r="B28">
        <f>(('RAW DATA'!C31/'RAW DATA'!O31)*AVERAGE([1]Balance!$C$4:$C$5))/AVERAGE([1]Balance!$B$4:$B$5)</f>
        <v>0.16403729046227955</v>
      </c>
      <c r="C28">
        <f>('RAW DATA'!F31/'RAW DATA'!O31)*AVERAGE([1]Balance!$C$8:$C$9)/AVERAGE([1]Balance!$B$8:$B$9)</f>
        <v>0.29243472250839697</v>
      </c>
      <c r="D28">
        <f>('RAW DATA'!I31/'RAW DATA'!O31)*AVERAGE([1]Balance!$C$6:$C$7)/AVERAGE([1]Balance!$B$6:$B$7)</f>
        <v>0.10608461088541382</v>
      </c>
      <c r="E28">
        <f t="shared" si="0"/>
        <v>2.690823266220627E-2</v>
      </c>
      <c r="F28">
        <f t="shared" si="1"/>
        <v>8.5518066928563133E-2</v>
      </c>
      <c r="G28">
        <f t="shared" si="1"/>
        <v>1.125394466670966E-2</v>
      </c>
      <c r="H28" s="45">
        <f>H5*SQRT((Table7[[#This Row],[RAW mg/ g SCG]]/C5)^2+([2]averages!$K$16/[2]averages!$J$16)^2)</f>
        <v>0.17599356608526556</v>
      </c>
      <c r="I28">
        <f>I5*SQRT((Table7[[#This Row],[PP PE Raw mg/ g SCG]]/E5)^2+([3]Proximate!$C$17/[3]Proximate!$B$17)^2)</f>
        <v>0.31274466139212004</v>
      </c>
      <c r="J28">
        <f>J5*SQRT((Table7[[#This Row],[PP PE SWE mg/ g SCG]]/G5)^2+([3]Proximate!$C$15/[3]Proximate!$B$15)^2)</f>
        <v>0.11378325653124202</v>
      </c>
      <c r="K28">
        <f>Table7[[#This Row],[raw mg/ g SCg DB]]^2</f>
        <v>3.0973735303408738E-2</v>
      </c>
      <c r="L28">
        <f>Table7[[#This Row],[PP pe raw mg/ g DB]]^2</f>
        <v>9.7809223229271824E-2</v>
      </c>
      <c r="M28">
        <f>Table7[[#This Row],[PP pe swe mg/g db]]^2</f>
        <v>1.294662946685443E-2</v>
      </c>
    </row>
    <row r="29" spans="1:16" x14ac:dyDescent="0.3">
      <c r="A29" s="3" t="s">
        <v>5</v>
      </c>
      <c r="B29">
        <f>('RAW DATA'!C32/'RAW DATA'!O32)*AVERAGE([1]Balance!$C$4:$C$5)/AVERAGE([1]Balance!$B$4:$B$5)</f>
        <v>2.6409012505565856</v>
      </c>
      <c r="C29">
        <f>('RAW DATA'!F32/'RAW DATA'!O32)*AVERAGE([1]Balance!$C$8:$C$9)/AVERAGE([1]Balance!$B$8:$B$9)</f>
        <v>7.0322017205815017</v>
      </c>
      <c r="D29">
        <f>('RAW DATA'!I32/'RAW DATA'!O32)*AVERAGE([1]Balance!$C$6:$C$7)/AVERAGE([1]Balance!$B$6:$B$7)</f>
        <v>1.3002610869332258</v>
      </c>
      <c r="E29">
        <f t="shared" si="0"/>
        <v>6.974359415191338</v>
      </c>
      <c r="F29">
        <f t="shared" si="1"/>
        <v>49.451861038949431</v>
      </c>
      <c r="G29">
        <f t="shared" si="1"/>
        <v>1.690678894192774</v>
      </c>
      <c r="H29" s="45">
        <f>H6*SQRT((Table7[[#This Row],[RAW mg/ g SCG]]/C6)^2+([2]averages!$K$16/[2]averages!$J$16)^2)</f>
        <v>2.833197206756076</v>
      </c>
      <c r="I29">
        <f>I6*SQRT((Table7[[#This Row],[PP PE Raw mg/ g SCG]]/E6)^2+([3]Proximate!$C$17/[3]Proximate!$B$17)^2)</f>
        <v>7.5123268839617667</v>
      </c>
      <c r="J29">
        <f>J6*SQRT((Table7[[#This Row],[PP PE SWE mg/ g SCG]]/G6)^2+([3]Proximate!$C$15/[3]Proximate!$B$15)^2)</f>
        <v>1.4012744691970902</v>
      </c>
      <c r="K29">
        <f>Table7[[#This Row],[raw mg/ g SCg DB]]^2</f>
        <v>8.0270064123704312</v>
      </c>
      <c r="L29">
        <f>Table7[[#This Row],[PP pe raw mg/ g DB]]^2</f>
        <v>56.435055211494706</v>
      </c>
      <c r="M29">
        <f>Table7[[#This Row],[PP pe swe mg/g db]]^2</f>
        <v>1.9635701380235868</v>
      </c>
    </row>
    <row r="30" spans="1:16" x14ac:dyDescent="0.3">
      <c r="A30" s="3" t="s">
        <v>6</v>
      </c>
      <c r="B30">
        <f>('RAW DATA'!C33/'RAW DATA'!O33)*AVERAGE([1]Balance!$C$4:$C$5)/AVERAGE([1]Balance!$B$4:$B$5)</f>
        <v>0.51698406920977746</v>
      </c>
      <c r="C30">
        <f>('RAW DATA'!F33/'RAW DATA'!O33)*AVERAGE([1]Balance!$C$8:$C$9)/AVERAGE([1]Balance!$B$8:$B$9)</f>
        <v>1.9980372770582875</v>
      </c>
      <c r="D30">
        <f>('RAW DATA'!I33/'RAW DATA'!O33)*AVERAGE([1]Balance!$C$6:$C$7)/AVERAGE([1]Balance!$B$6:$B$7)</f>
        <v>0.55969123567462609</v>
      </c>
      <c r="E30">
        <f t="shared" si="0"/>
        <v>0.26727252781669997</v>
      </c>
      <c r="F30">
        <f t="shared" si="1"/>
        <v>3.9921529605144959</v>
      </c>
      <c r="G30">
        <f>D30^2</f>
        <v>0.31325427929098987</v>
      </c>
      <c r="H30" s="45">
        <f>H7*SQRT((Table7[[#This Row],[RAW mg/ g SCG]]/C7)^2+([2]averages!$K$16/[2]averages!$J$16)^2)</f>
        <v>0.55476381727303947</v>
      </c>
      <c r="I30">
        <f>I7*SQRT((Table7[[#This Row],[PP PE Raw mg/ g SCG]]/E7)^2+([3]Proximate!$C$17/[3]Proximate!$B$17)^2)</f>
        <v>2.1359190878502585</v>
      </c>
      <c r="J30">
        <f>J7*SQRT((Table7[[#This Row],[PP PE SWE mg/ g SCG]]/G7)^2+([3]Proximate!$C$15/[3]Proximate!$B$15)^2)</f>
        <v>0.60851858445904028</v>
      </c>
      <c r="K30">
        <f>Table7[[#This Row],[raw mg/ g SCg DB]]^2</f>
        <v>0.30776289295535431</v>
      </c>
      <c r="L30">
        <f>Table7[[#This Row],[PP pe raw mg/ g DB]]^2</f>
        <v>4.5621503498430807</v>
      </c>
      <c r="M30">
        <f>Table7[[#This Row],[PP pe swe mg/g db]]^2</f>
        <v>0.37029486763203412</v>
      </c>
    </row>
    <row r="31" spans="1:16" x14ac:dyDescent="0.3">
      <c r="A31" s="3" t="s">
        <v>7</v>
      </c>
      <c r="B31">
        <f>('RAW DATA'!C34/'RAW DATA'!O34)*AVERAGE([1]Balance!$C$4:$C$5)/AVERAGE([1]Balance!$B$4:$B$5)</f>
        <v>0.40341427036785277</v>
      </c>
      <c r="C31">
        <f>('RAW DATA'!F34/'RAW DATA'!O34)*AVERAGE([1]Balance!$C$8:$C$9)/AVERAGE([1]Balance!$B$8:$B$9)</f>
        <v>2.7270306126219843</v>
      </c>
      <c r="D31">
        <f>('RAW DATA'!I34/'RAW DATA'!O34)*AVERAGE([1]Balance!$C$6:$C$7)/AVERAGE([1]Balance!$B$6:$B$7)</f>
        <v>1.0341322658833889</v>
      </c>
      <c r="E31">
        <f t="shared" si="0"/>
        <v>0.162743073536427</v>
      </c>
      <c r="F31">
        <f t="shared" si="1"/>
        <v>7.4366959621774349</v>
      </c>
      <c r="G31">
        <f t="shared" si="1"/>
        <v>1.0694295433411123</v>
      </c>
      <c r="H31" s="45">
        <f>H8*SQRT((Table7[[#This Row],[RAW mg/ g SCG]]/C8)^2+([2]averages!$K$16/[2]averages!$J$16)^2)</f>
        <v>0.43280894699274053</v>
      </c>
      <c r="I31">
        <f>I8*SQRT((Table7[[#This Row],[PP PE Raw mg/ g SCG]]/E8)^2+([3]Proximate!$C$17/[3]Proximate!$B$17)^2)</f>
        <v>2.9138134817445649</v>
      </c>
      <c r="J31">
        <f>J8*SQRT((Table7[[#This Row],[PP PE SWE mg/ g SCG]]/G8)^2+([3]Proximate!$C$15/[3]Proximate!$B$15)^2)</f>
        <v>1.1021031794486031</v>
      </c>
      <c r="K31">
        <f>Table7[[#This Row],[raw mg/ g SCg DB]]^2</f>
        <v>0.18732358459696488</v>
      </c>
      <c r="L31">
        <f>Table7[[#This Row],[PP pe raw mg/ g DB]]^2</f>
        <v>8.4903090063963838</v>
      </c>
      <c r="M31">
        <f>Table7[[#This Row],[PP pe swe mg/g db]]^2</f>
        <v>1.2146314181507198</v>
      </c>
    </row>
    <row r="32" spans="1:16" x14ac:dyDescent="0.3">
      <c r="A32" s="3" t="s">
        <v>8</v>
      </c>
      <c r="B32">
        <f>('RAW DATA'!C35/'RAW DATA'!O35)*AVERAGE([1]Balance!$C$4:$C$5)/AVERAGE([1]Balance!$B$4:$B$5)</f>
        <v>0.83860969000428276</v>
      </c>
      <c r="C32">
        <f>('RAW DATA'!F35/'RAW DATA'!O35)*AVERAGE([1]Balance!$C$8:$C$9)/AVERAGE([1]Balance!$B$8:$B$9)</f>
        <v>3.0915674401965054</v>
      </c>
      <c r="D32">
        <f>('RAW DATA'!I35/'RAW DATA'!O35)*AVERAGE([1]Balance!$C$6:$C$7)/AVERAGE([1]Balance!$B$6:$B$7)</f>
        <v>0.56650359634422953</v>
      </c>
      <c r="E32">
        <f t="shared" si="0"/>
        <v>0.70326621216907925</v>
      </c>
      <c r="F32">
        <f t="shared" si="1"/>
        <v>9.5577892372831723</v>
      </c>
      <c r="G32">
        <f t="shared" si="1"/>
        <v>0.32092632467094573</v>
      </c>
      <c r="H32" s="45">
        <f>H9*SQRT((Table7[[#This Row],[RAW mg/ g SCG]]/C9)^2+([2]averages!$K$16/[2]averages!$J$16)^2)</f>
        <v>0.89975444318271569</v>
      </c>
      <c r="I32">
        <f>I9*SQRT((Table7[[#This Row],[PP PE Raw mg/ g SCG]]/E9)^2+([3]Proximate!$C$17/[3]Proximate!$B$17)^2)</f>
        <v>3.3031804491239738</v>
      </c>
      <c r="J32">
        <f>J9*SQRT((Table7[[#This Row],[PP PE SWE mg/ g SCG]]/G9)^2+([3]Proximate!$C$15/[3]Proximate!$B$15)^2)</f>
        <v>0.61531782315749894</v>
      </c>
      <c r="K32">
        <f>Table7[[#This Row],[raw mg/ g SCg DB]]^2</f>
        <v>0.80955805802703873</v>
      </c>
      <c r="L32">
        <f>Table7[[#This Row],[PP pe raw mg/ g DB]]^2</f>
        <v>10.911001079474858</v>
      </c>
      <c r="M32">
        <f>Table7[[#This Row],[PP pe swe mg/g db]]^2</f>
        <v>0.37861602349528317</v>
      </c>
    </row>
    <row r="33" spans="1:16" x14ac:dyDescent="0.3">
      <c r="A33" s="3" t="s">
        <v>9</v>
      </c>
      <c r="B33">
        <f>('RAW DATA'!C36/'RAW DATA'!O36)*AVERAGE([1]Balance!$C$4:$C$5)/AVERAGE([1]Balance!$B$4:$B$5)</f>
        <v>1.2447334912224357</v>
      </c>
      <c r="C33">
        <f>('RAW DATA'!F36/'RAW DATA'!O36)*AVERAGE([1]Balance!$C$8:$C$9)/AVERAGE([1]Balance!$B$8:$B$9)</f>
        <v>0.50579225971882147</v>
      </c>
      <c r="D33">
        <f>('RAW DATA'!I36/'RAW DATA'!O36)*AVERAGE([1]Balance!$C$6:$C$7)/AVERAGE([1]Balance!$B$6:$B$7)</f>
        <v>0.1380153934326544</v>
      </c>
      <c r="E33">
        <f t="shared" si="0"/>
        <v>1.5493614641707933</v>
      </c>
      <c r="F33">
        <f t="shared" si="1"/>
        <v>0.25582580999147175</v>
      </c>
      <c r="G33">
        <f t="shared" si="1"/>
        <v>1.9048248824370381E-2</v>
      </c>
      <c r="H33" s="45">
        <f>H10*SQRT((Table7[[#This Row],[RAW mg/ g SCG]]/C10)^2+([2]averages!$K$16/[2]averages!$J$16)^2)</f>
        <v>1.3353858616663896</v>
      </c>
      <c r="I33">
        <f>I10*SQRT((Table7[[#This Row],[PP PE Raw mg/ g SCG]]/E10)^2+([3]Proximate!$C$17/[3]Proximate!$B$17)^2)</f>
        <v>0.54027526378208501</v>
      </c>
      <c r="J33">
        <f>J10*SQRT((Table7[[#This Row],[PP PE SWE mg/ g SCG]]/G10)^2+([3]Proximate!$C$15/[3]Proximate!$B$15)^2)</f>
        <v>0.14618192326390184</v>
      </c>
      <c r="K33">
        <f>Table7[[#This Row],[raw mg/ g SCg DB]]^2</f>
        <v>1.7832553995384859</v>
      </c>
      <c r="L33">
        <f>Table7[[#This Row],[PP pe raw mg/ g DB]]^2</f>
        <v>0.29189736065480154</v>
      </c>
      <c r="M33">
        <f>Table7[[#This Row],[PP pe swe mg/g db]]^2</f>
        <v>2.1369154689133286E-2</v>
      </c>
    </row>
    <row r="34" spans="1:16" x14ac:dyDescent="0.3">
      <c r="A34" s="3" t="s">
        <v>10</v>
      </c>
      <c r="B34">
        <f>('RAW DATA'!C37/'RAW DATA'!O37)*AVERAGE([1]Balance!$C$4:$C$5)/AVERAGE([1]Balance!$B$4:$B$5)</f>
        <v>1.3274086873720439</v>
      </c>
      <c r="C34">
        <f>('RAW DATA'!F37/'RAW DATA'!O37)*AVERAGE([1]Balance!$C$8:$C$9)/AVERAGE([1]Balance!$B$8:$B$9)</f>
        <v>2.5584927264474047</v>
      </c>
      <c r="D34">
        <f>('RAW DATA'!I37/'RAW DATA'!O37)*AVERAGE([1]Balance!$C$6:$C$7)/AVERAGE([1]Balance!$B$6:$B$7)</f>
        <v>0.85828938380148867</v>
      </c>
      <c r="E34">
        <f t="shared" si="0"/>
        <v>1.7620138233107725</v>
      </c>
      <c r="F34">
        <f t="shared" si="1"/>
        <v>6.545885031284274</v>
      </c>
      <c r="G34">
        <f t="shared" si="1"/>
        <v>0.73666066634633909</v>
      </c>
      <c r="H34" s="45">
        <f>H11*SQRT((Table7[[#This Row],[RAW mg/ g SCG]]/C11)^2+([2]averages!$K$16/[2]averages!$J$16)^2)</f>
        <v>1.424087377955034</v>
      </c>
      <c r="I34">
        <f>I11*SQRT((Table7[[#This Row],[PP PE Raw mg/ g SCG]]/E11)^2+([3]Proximate!$C$17/[3]Proximate!$B$17)^2)</f>
        <v>2.7332755314508104</v>
      </c>
      <c r="J34">
        <f>J11*SQRT((Table7[[#This Row],[PP PE SWE mg/ g SCG]]/G11)^2+([3]Proximate!$C$15/[3]Proximate!$B$15)^2)</f>
        <v>0.91050453272873677</v>
      </c>
      <c r="K34">
        <f>Table7[[#This Row],[raw mg/ g SCg DB]]^2</f>
        <v>2.0280248600508441</v>
      </c>
      <c r="L34">
        <f>Table7[[#This Row],[PP pe raw mg/ g DB]]^2</f>
        <v>7.4707951308277103</v>
      </c>
      <c r="M34">
        <f>Table7[[#This Row],[PP pe swe mg/g db]]^2</f>
        <v>0.82901850411957534</v>
      </c>
    </row>
    <row r="35" spans="1:16" x14ac:dyDescent="0.3">
      <c r="A35" s="3" t="s">
        <v>26</v>
      </c>
      <c r="B35">
        <f>('RAW DATA'!C38/'RAW DATA'!O38)*AVERAGE([1]Balance!$C$4:$C$5)/AVERAGE([1]Balance!$B$4:$B$5)</f>
        <v>12.172014180513502</v>
      </c>
      <c r="C35">
        <f>('RAW DATA'!F38/'RAW DATA'!O38*AVERAGE([1]Balance!$C$8:$C$9)/AVERAGE([1]Balance!$B$8:$B$9))</f>
        <v>42.35862321372467</v>
      </c>
      <c r="D35">
        <f>('RAW DATA'!I38/'RAW DATA'!O38)*AVERAGE([1]Balance!$C$6:$C$7)/AVERAGE([1]Balance!$B$6:$B$7)</f>
        <v>5.6145376672006853</v>
      </c>
      <c r="E35">
        <f t="shared" si="0"/>
        <v>148.15792921062177</v>
      </c>
      <c r="F35">
        <f t="shared" si="1"/>
        <v>1794.2529605622944</v>
      </c>
      <c r="G35">
        <f t="shared" si="1"/>
        <v>31.523033216415314</v>
      </c>
      <c r="H35" s="45">
        <f>H12*SQRT((Table7[[#This Row],[RAW mg/ g SCG]]/C12)^2+([2]averages!$K$16/[2]averages!$J$16)^2)</f>
        <v>13.058154208081827</v>
      </c>
      <c r="I35">
        <f>I12*SQRT((Table7[[#This Row],[PP PE Raw mg/ g SCG]]/E12)^2+([3]Proximate!$C$17/[3]Proximate!$B$17)^2)</f>
        <v>45.240650976990288</v>
      </c>
      <c r="J35">
        <f>J12*SQRT((Table7[[#This Row],[PP PE SWE mg/ g SCG]]/G12)^2+([3]Proximate!$C$15/[3]Proximate!$B$15)^2)</f>
        <v>5.9494896414877161</v>
      </c>
      <c r="K35">
        <f>Table7[[#This Row],[raw mg/ g SCg DB]]^2</f>
        <v>170.51539132204513</v>
      </c>
      <c r="L35">
        <f>Table7[[#This Row],[PP pe raw mg/ g DB]]^2</f>
        <v>2046.7165008218524</v>
      </c>
      <c r="M35">
        <f>Table7[[#This Row],[PP pe swe mg/g db]]^2</f>
        <v>35.39642699416963</v>
      </c>
    </row>
    <row r="36" spans="1:16" x14ac:dyDescent="0.3">
      <c r="A36" s="3" t="s">
        <v>11</v>
      </c>
      <c r="B36">
        <f>('RAW DATA'!C39/'RAW DATA'!O39)*AVERAGE([1]Balance!$C$4:$C$5)/AVERAGE([1]Balance!$B$4:$B$5)</f>
        <v>1.339815173249421</v>
      </c>
      <c r="C36">
        <f>('RAW DATA'!F39/'RAW DATA'!O39)*AVERAGE([1]Balance!$C$8:$C$9)/AVERAGE([1]Balance!$B$8:$B$9)</f>
        <v>0.38015889333234387</v>
      </c>
      <c r="D36">
        <f>('RAW DATA'!I39/'RAW DATA'!O39)*AVERAGE([1]Balance!$C$6:$C$7)/AVERAGE([1]Balance!$B$6:$B$7)</f>
        <v>0.11307905569203544</v>
      </c>
      <c r="E36">
        <f t="shared" si="0"/>
        <v>1.7951046984693759</v>
      </c>
      <c r="F36">
        <f t="shared" si="1"/>
        <v>0.1445207841796724</v>
      </c>
      <c r="G36">
        <f t="shared" si="1"/>
        <v>1.2786872836202452E-2</v>
      </c>
      <c r="H36" s="45">
        <f>H13*SQRT((Table7[[#This Row],[RAW mg/ g SCG]]/C13)^2+([2]averages!$K$16/[2]averages!$J$16)^2)</f>
        <v>1.4373609025830167</v>
      </c>
      <c r="I36">
        <f>I13*SQRT((Table7[[#This Row],[PP PE Raw mg/ g SCG]]/E13)^2+([3]Proximate!$C$17/[3]Proximate!$B$17)^2)</f>
        <v>0.40611690760075941</v>
      </c>
      <c r="J36">
        <f>J13*SQRT((Table7[[#This Row],[PP PE SWE mg/ g SCG]]/G13)^2+([3]Proximate!$C$15/[3]Proximate!$B$15)^2)</f>
        <v>0.11999217927447635</v>
      </c>
      <c r="K36">
        <f>Table7[[#This Row],[raw mg/ g SCg DB]]^2</f>
        <v>2.0660063642742648</v>
      </c>
      <c r="L36">
        <f>Table7[[#This Row],[PP pe raw mg/ g DB]]^2</f>
        <v>0.16493094263920377</v>
      </c>
      <c r="M36">
        <f>Table7[[#This Row],[PP pe swe mg/g db]]^2</f>
        <v>1.4398123087038072E-2</v>
      </c>
    </row>
    <row r="37" spans="1:16" x14ac:dyDescent="0.3">
      <c r="A37" s="3" t="s">
        <v>12</v>
      </c>
      <c r="B37">
        <f>('RAW DATA'!C40/'RAW DATA'!O40)*AVERAGE([1]Balance!$C$4:$C$5)/AVERAGE([1]Balance!$B$4:$B$5)</f>
        <v>8.2005644765310151E-2</v>
      </c>
      <c r="C37">
        <f>('RAW DATA'!F40/'RAW DATA'!O40)*AVERAGE([1]Balance!$C$8:$C$9)/AVERAGE([1]Balance!$B$8:$B$9)</f>
        <v>0.22292394618113218</v>
      </c>
      <c r="D37">
        <f>('RAW DATA'!I40/'RAW DATA'!O40)*AVERAGE([1]Balance!$C$6:$C$7)/AVERAGE([1]Balance!$B$6:$B$7)</f>
        <v>7.9627435776026892E-3</v>
      </c>
      <c r="E37">
        <f t="shared" si="0"/>
        <v>6.7249257733742402E-3</v>
      </c>
      <c r="F37">
        <f t="shared" si="1"/>
        <v>4.9695085780968318E-2</v>
      </c>
      <c r="G37">
        <f t="shared" si="1"/>
        <v>6.3405285282652868E-5</v>
      </c>
      <c r="H37" s="45">
        <f>H14*SQRT((Table7[[#This Row],[RAW mg/ g SCG]]/C14)^2+([2]averages!$K$16/[2]averages!$J$16)^2)</f>
        <v>8.7996005309861042E-2</v>
      </c>
      <c r="I37">
        <f>I14*SQRT((Table7[[#This Row],[PP PE Raw mg/ g SCG]]/E14)^2+([3]Proximate!$C$17/[3]Proximate!$B$17)^2)</f>
        <v>0.23816009589356169</v>
      </c>
      <c r="J37">
        <f>J14*SQRT((Table7[[#This Row],[PP PE SWE mg/ g SCG]]/G14)^2+([3]Proximate!$C$15/[3]Proximate!$B$15)^2)</f>
        <v>8.8235329438851665E-3</v>
      </c>
      <c r="K37">
        <f>Table7[[#This Row],[raw mg/ g SCg DB]]^2</f>
        <v>7.7432969504930924E-3</v>
      </c>
      <c r="L37">
        <f>Table7[[#This Row],[PP pe raw mg/ g DB]]^2</f>
        <v>5.67202312760305E-2</v>
      </c>
      <c r="M37">
        <f>Table7[[#This Row],[PP pe swe mg/g db]]^2</f>
        <v>7.7854733611826835E-5</v>
      </c>
    </row>
    <row r="38" spans="1:16" x14ac:dyDescent="0.3">
      <c r="A38" s="3" t="s">
        <v>13</v>
      </c>
      <c r="B38">
        <f>('RAW DATA'!C41/'RAW DATA'!O41)*AVERAGE([1]Balance!$C$4:$C$5)/AVERAGE([1]Balance!$B$4:$B$5)</f>
        <v>2.5311423360909417</v>
      </c>
      <c r="C38">
        <f>('RAW DATA'!F41/'RAW DATA'!O41)*AVERAGE([1]Balance!$C$8:$C$9)/AVERAGE([1]Balance!$B$8:$B$9)</f>
        <v>8.0500786002471028</v>
      </c>
      <c r="D38">
        <f>('RAW DATA'!I41/'RAW DATA'!O41)*AVERAGE([1]Balance!$C$6:$C$7)/AVERAGE([1]Balance!$B$6:$B$7)</f>
        <v>1.7196238727549624</v>
      </c>
      <c r="E38">
        <f t="shared" si="0"/>
        <v>6.4066815255519103</v>
      </c>
      <c r="F38">
        <f t="shared" si="1"/>
        <v>64.80376547015635</v>
      </c>
      <c r="G38">
        <f t="shared" si="1"/>
        <v>2.9571062637487753</v>
      </c>
      <c r="H38" s="45">
        <f>H15*SQRT((Table7[[#This Row],[RAW mg/ g SCG]]/C15)^2+([2]averages!$K$16/[2]averages!$J$16)^2)</f>
        <v>2.7155301013984849</v>
      </c>
      <c r="I38">
        <f>I15*SQRT((Table7[[#This Row],[PP PE Raw mg/ g SCG]]/E15)^2+([3]Proximate!$C$17/[3]Proximate!$B$17)^2)</f>
        <v>8.6016987981146968</v>
      </c>
      <c r="J38">
        <f>J15*SQRT((Table7[[#This Row],[PP PE SWE mg/ g SCG]]/G15)^2+([3]Proximate!$C$15/[3]Proximate!$B$15)^2)</f>
        <v>1.8756932339432544</v>
      </c>
      <c r="K38">
        <f>Table7[[#This Row],[raw mg/ g SCg DB]]^2</f>
        <v>7.3741037316012656</v>
      </c>
      <c r="L38">
        <f>Table7[[#This Row],[PP pe raw mg/ g DB]]^2</f>
        <v>73.989222213487821</v>
      </c>
      <c r="M38">
        <f>Table7[[#This Row],[PP pe swe mg/g db]]^2</f>
        <v>3.5182251078605038</v>
      </c>
    </row>
    <row r="39" spans="1:16" x14ac:dyDescent="0.3">
      <c r="A39" s="3" t="s">
        <v>14</v>
      </c>
      <c r="B39">
        <f>('RAW DATA'!C42)*AVERAGE([1]Balance!$C$4:$C$5)/AVERAGE([1]Balance!$B$4:$B$5)</f>
        <v>2.0785381293344767E-2</v>
      </c>
      <c r="C39">
        <f>('RAW DATA'!F42)*AVERAGE([1]Balance!$C$8:$C$9)/AVERAGE([1]Balance!$B$8:$B$9)</f>
        <v>9.6451130991266898E-2</v>
      </c>
      <c r="D39">
        <f>('RAW DATA'!I42)*AVERAGE([1]Balance!$C$6:$C$7)/AVERAGE([1]Balance!$B$6:$B$7)</f>
        <v>2.8936823774058779E-2</v>
      </c>
      <c r="E39">
        <f t="shared" si="0"/>
        <v>4.3203207550972656E-4</v>
      </c>
      <c r="F39">
        <f t="shared" si="1"/>
        <v>9.3028206694945256E-3</v>
      </c>
      <c r="G39">
        <f t="shared" si="1"/>
        <v>8.373397701309334E-4</v>
      </c>
      <c r="H39" s="45">
        <f>H16*SQRT((Table7[[#This Row],[RAW mg/ g SCG]]/C16)^2+([2]averages!$K$16/[2]averages!$J$16)^2)</f>
        <v>2.2304370190926535E-2</v>
      </c>
      <c r="I39">
        <f>I16*SQRT((Table7[[#This Row],[PP PE Raw mg/ g SCG]]/E16)^2+([3]Proximate!$C$17/[3]Proximate!$B$17)^2)</f>
        <v>0.10325458429473267</v>
      </c>
      <c r="J39">
        <f>J16*SQRT((Table7[[#This Row],[PP PE SWE mg/ g SCG]]/G16)^2+([3]Proximate!$C$15/[3]Proximate!$B$15)^2)</f>
        <v>3.3971585044855791E-2</v>
      </c>
      <c r="K39">
        <f>Table7[[#This Row],[raw mg/ g SCg DB]]^2</f>
        <v>4.9748492961389223E-4</v>
      </c>
      <c r="L39">
        <f>Table7[[#This Row],[PP pe raw mg/ g DB]]^2</f>
        <v>1.0661509177878054E-2</v>
      </c>
      <c r="M39">
        <f>Table7[[#This Row],[PP pe swe mg/g db]]^2</f>
        <v>1.1540685904598696E-3</v>
      </c>
    </row>
    <row r="40" spans="1:16" x14ac:dyDescent="0.3">
      <c r="A40" s="3" t="s">
        <v>27</v>
      </c>
      <c r="B40">
        <f>('RAW DATA'!C43/'RAW DATA'!O43)*AVERAGE([1]Balance!$C$4:$C$5)/AVERAGE([1]Balance!$B$4:$B$5)</f>
        <v>4.330763418134878</v>
      </c>
      <c r="C40">
        <f>('RAW DATA'!F43/'RAW DATA'!O43)*AVERAGE([1]Balance!$C$8:$C$9)/AVERAGE([1]Balance!$B$8:$B$9)</f>
        <v>21.344122557084251</v>
      </c>
      <c r="D40">
        <f>('RAW DATA'!I43/'RAW DATA'!O43)*AVERAGE([1]Balance!$C$6:$C$7)/AVERAGE([1]Balance!$B$6:$B$7)</f>
        <v>0.48614875374338867</v>
      </c>
      <c r="E40">
        <f t="shared" si="0"/>
        <v>18.75551178385529</v>
      </c>
      <c r="F40">
        <f t="shared" si="1"/>
        <v>455.57156773183277</v>
      </c>
      <c r="G40">
        <f t="shared" si="1"/>
        <v>0.23634061076624996</v>
      </c>
      <c r="H40" s="45">
        <f>H17*SQRT((Table7[[#This Row],[RAW mg/ g SCG]]/C17)^2+([2]averages!$K$16/[2]averages!$J$16)^2)</f>
        <v>4.6460744464633645</v>
      </c>
      <c r="I40">
        <f>I17*SQRT((Table7[[#This Row],[PP PE Raw mg/ g SCG]]/E17)^2+([3]Proximate!$C$17/[3]Proximate!$B$17)^2)</f>
        <v>22.795902158547623</v>
      </c>
      <c r="J40">
        <f>J17*SQRT((Table7[[#This Row],[PP PE SWE mg/ g SCG]]/G17)^2+([3]Proximate!$C$15/[3]Proximate!$B$15)^2)</f>
        <v>0.51508570715985746</v>
      </c>
      <c r="K40">
        <f>Table7[[#This Row],[raw mg/ g SCg DB]]^2</f>
        <v>21.586007762079859</v>
      </c>
      <c r="L40">
        <f>Table7[[#This Row],[PP pe raw mg/ g DB]]^2</f>
        <v>519.65315522207618</v>
      </c>
      <c r="M40">
        <f>Table7[[#This Row],[PP pe swe mg/g db]]^2</f>
        <v>0.26531328572037044</v>
      </c>
    </row>
    <row r="41" spans="1:16" x14ac:dyDescent="0.3">
      <c r="A41" s="3" t="s">
        <v>28</v>
      </c>
      <c r="B41">
        <f>('RAW DATA'!C44/'RAW DATA'!O44)*AVERAGE([1]Balance!$C$4:$C$5)/AVERAGE([1]Balance!$B$4:$B$5)</f>
        <v>1.2238593729281335</v>
      </c>
      <c r="C41">
        <f>('RAW DATA'!F44/'RAW DATA'!O44)*AVERAGE([1]Balance!$C$8:$C$9)/AVERAGE([1]Balance!$B$8:$B$9)</f>
        <v>0.81513994795186329</v>
      </c>
      <c r="D41">
        <f>('RAW DATA'!I44/'RAW DATA'!O44)*AVERAGE([1]Balance!$C$6:$C$7)/AVERAGE([1]Balance!$B$6:$B$7)</f>
        <v>0.20420691209023584</v>
      </c>
      <c r="E41">
        <f t="shared" si="0"/>
        <v>1.4978317647040442</v>
      </c>
      <c r="F41">
        <f>C41^2</f>
        <v>0.66445313474696643</v>
      </c>
      <c r="G41">
        <f>D41^2</f>
        <v>4.1700462945429305E-2</v>
      </c>
      <c r="H41" s="45">
        <f>H18*SQRT((Table7[[#This Row],[RAW mg/ g SCG]]/C18)^2+([2]averages!$K$16/[2]averages!$J$16)^2)</f>
        <v>1.312951993120913</v>
      </c>
      <c r="I41">
        <f>I18*SQRT((Table7[[#This Row],[PP PE Raw mg/ g SCG]]/E18)^2+([3]Proximate!$C$17/[3]Proximate!$B$17)^2)</f>
        <v>0.87106263000026107</v>
      </c>
      <c r="J41">
        <f>J18*SQRT((Table7[[#This Row],[PP PE SWE mg/ g SCG]]/G18)^2+([3]Proximate!$C$15/[3]Proximate!$B$15)^2)</f>
        <v>0.2196348394601132</v>
      </c>
      <c r="K41">
        <f>Table7[[#This Row],[raw mg/ g SCg DB]]^2</f>
        <v>1.7238429362401781</v>
      </c>
      <c r="L41">
        <f>Table7[[#This Row],[PP pe raw mg/ g DB]]^2</f>
        <v>0.75875010538297172</v>
      </c>
      <c r="M41">
        <f>Table7[[#This Row],[PP pe swe mg/g db]]^2</f>
        <v>4.8239462704669694E-2</v>
      </c>
    </row>
    <row r="42" spans="1:16" ht="15" thickBot="1" x14ac:dyDescent="0.35">
      <c r="A42" s="3" t="s">
        <v>112</v>
      </c>
      <c r="H42" s="45">
        <f>SQRT(SUM(K25:K41))</f>
        <v>15.215669708197144</v>
      </c>
      <c r="I42" s="45">
        <f>SQRT(SUM(L25:L41))</f>
        <v>52.806349701481288</v>
      </c>
      <c r="J42" s="45">
        <f>SQRT(SUM(M25:M41))</f>
        <v>6.7408456821753546</v>
      </c>
      <c r="K42">
        <f t="shared" ref="K42:M43" si="2">E42</f>
        <v>0</v>
      </c>
      <c r="L42">
        <f t="shared" si="2"/>
        <v>0</v>
      </c>
      <c r="M42">
        <f t="shared" si="2"/>
        <v>0</v>
      </c>
    </row>
    <row r="43" spans="1:16" ht="15" thickTop="1" x14ac:dyDescent="0.3">
      <c r="A43" s="22" t="s">
        <v>86</v>
      </c>
      <c r="B43" s="19">
        <f>H42/1000</f>
        <v>1.5215669708197144E-2</v>
      </c>
      <c r="C43" s="19">
        <f>I42/1000</f>
        <v>5.2806349701481285E-2</v>
      </c>
      <c r="D43" s="19">
        <f>J45/1000</f>
        <v>1.1408286596764081E-3</v>
      </c>
      <c r="H43" s="51"/>
      <c r="I43" s="21"/>
      <c r="J43" s="21"/>
      <c r="K43">
        <f t="shared" si="2"/>
        <v>0</v>
      </c>
      <c r="L43">
        <f t="shared" si="2"/>
        <v>0</v>
      </c>
      <c r="M43">
        <f t="shared" si="2"/>
        <v>0</v>
      </c>
    </row>
    <row r="44" spans="1:16" ht="15" thickBot="1" x14ac:dyDescent="0.35">
      <c r="A44" s="6" t="s">
        <v>87</v>
      </c>
      <c r="C44" s="19">
        <f>C43*[1]Balance!$P$8</f>
        <v>8.2773065001330625E-4</v>
      </c>
      <c r="D44" s="19">
        <f>D43*[1]Balance!$P$6</f>
        <v>3.1029846934810746E-5</v>
      </c>
      <c r="J44">
        <f>J21*SQRT((Table7[[#This Row],[PP PE SWE mg/ g SCG]]/G21)^2+([3]Proximate!$C$15/[3]Proximate!$B$15)^2)</f>
        <v>0</v>
      </c>
    </row>
    <row r="45" spans="1:16" ht="15" thickBot="1" x14ac:dyDescent="0.35">
      <c r="A45" s="46"/>
      <c r="B45" s="1"/>
      <c r="C45" s="1"/>
      <c r="D45" s="1"/>
      <c r="E45" s="1"/>
      <c r="F45" s="1"/>
      <c r="G45" s="47" t="s">
        <v>110</v>
      </c>
      <c r="H45" s="48">
        <f>Table47[[#Totals],[raw mg/ g SCg DB]]*SQRT((SUM(K25:K41)+N25))</f>
        <v>3.3161532003890115</v>
      </c>
      <c r="I45" s="49">
        <f>Table47[[#Totals],[pp pe raw mg/ g DB]]*SQRT((SUM(L25:L41)+O25))</f>
        <v>17.292473302120023</v>
      </c>
      <c r="J45" s="50">
        <f>Table47[[#Totals],[pp pe swe mg/g db]]*SQRT((SUM(M25:M41)+P25))</f>
        <v>1.1408286596764081</v>
      </c>
      <c r="K45" s="1"/>
      <c r="L45" s="1"/>
      <c r="M45" s="1"/>
      <c r="N45" s="1"/>
      <c r="O45" s="1"/>
      <c r="P45" s="1"/>
    </row>
    <row r="49" spans="1:16" x14ac:dyDescent="0.3">
      <c r="B49" t="s">
        <v>116</v>
      </c>
      <c r="E49" t="s">
        <v>107</v>
      </c>
    </row>
    <row r="50" spans="1:16" x14ac:dyDescent="0.3">
      <c r="A50" s="10" t="s">
        <v>74</v>
      </c>
      <c r="B50" t="s">
        <v>91</v>
      </c>
      <c r="C50" t="s">
        <v>92</v>
      </c>
      <c r="D50" t="s">
        <v>93</v>
      </c>
      <c r="E50" t="s">
        <v>95</v>
      </c>
      <c r="F50" t="s">
        <v>119</v>
      </c>
      <c r="G50" t="s">
        <v>97</v>
      </c>
      <c r="H50" t="s">
        <v>104</v>
      </c>
      <c r="I50" t="s">
        <v>105</v>
      </c>
      <c r="J50" t="s">
        <v>106</v>
      </c>
      <c r="K50" t="s">
        <v>114</v>
      </c>
      <c r="L50" t="s">
        <v>33</v>
      </c>
      <c r="M50" t="s">
        <v>34</v>
      </c>
      <c r="N50" t="s">
        <v>138</v>
      </c>
      <c r="O50" t="s">
        <v>139</v>
      </c>
      <c r="P50" t="s">
        <v>140</v>
      </c>
    </row>
    <row r="51" spans="1:16" x14ac:dyDescent="0.3">
      <c r="A51" s="44"/>
      <c r="K51" t="s">
        <v>95</v>
      </c>
      <c r="L51" t="s">
        <v>96</v>
      </c>
      <c r="M51" t="s">
        <v>115</v>
      </c>
      <c r="N51">
        <f>([2]averages!$K$16)^2</f>
        <v>1.4900809726699581E-6</v>
      </c>
      <c r="O51">
        <f>([3]Proximate!$C$16)^2</f>
        <v>5.725703374662482E-4</v>
      </c>
      <c r="P51">
        <f>(([3]Proximate!$C$15)^2)</f>
        <v>2.5742375006573544E-4</v>
      </c>
    </row>
    <row r="52" spans="1:16" x14ac:dyDescent="0.3">
      <c r="A52" s="11" t="s">
        <v>0</v>
      </c>
      <c r="B52" s="5">
        <f>C2/C19</f>
        <v>4.8143036313174875E-2</v>
      </c>
      <c r="C52" s="5">
        <f>E2/E19</f>
        <v>5.1370412336848158E-2</v>
      </c>
      <c r="D52" s="5">
        <f>G2/G19</f>
        <v>7.5057863730823224E-2</v>
      </c>
      <c r="E52">
        <f>SQRT((B25/C2)^2+(H45/C19)^2)</f>
        <v>8.2869748734144225E-2</v>
      </c>
      <c r="F52">
        <f>SQRT((C25/E2)^2+(I45/E19)^2)</f>
        <v>0.17377466891461799</v>
      </c>
      <c r="G52">
        <f>SQRT((D25/G2)^2+(J45/G19)^2)</f>
        <v>3.5015691598833075E-2</v>
      </c>
      <c r="H52">
        <f t="shared" ref="H52:H68" si="3">E52^2</f>
        <v>6.8673952552601985E-3</v>
      </c>
      <c r="I52">
        <f t="shared" ref="I52:J67" si="4">F52^2</f>
        <v>3.0197635556385098E-2</v>
      </c>
      <c r="J52">
        <f t="shared" si="4"/>
        <v>1.2260986581445893E-3</v>
      </c>
      <c r="K52">
        <f>E52/100</f>
        <v>8.2869748734144225E-4</v>
      </c>
      <c r="L52">
        <f>F52/100</f>
        <v>1.7377466891461799E-3</v>
      </c>
      <c r="M52">
        <f t="shared" ref="L52:M67" si="5">G52/100</f>
        <v>3.5015691598833077E-4</v>
      </c>
    </row>
    <row r="53" spans="1:16" x14ac:dyDescent="0.3">
      <c r="A53" s="12" t="s">
        <v>1</v>
      </c>
      <c r="B53" s="5">
        <f>C3/C19</f>
        <v>6.2703173260180045E-2</v>
      </c>
      <c r="C53" s="5">
        <f>E3/E19</f>
        <v>5.7342918935925448E-2</v>
      </c>
      <c r="D53" s="5">
        <f>G3/G19</f>
        <v>8.0857084416963557E-2</v>
      </c>
      <c r="E53">
        <f>SQRT((B26/C3)^2+(H45/C19)^2)</f>
        <v>0.27491849145995784</v>
      </c>
      <c r="F53">
        <f>SQRT((C26/E3)^2+(I45/E19)^2)</f>
        <v>0.36768302007622988</v>
      </c>
      <c r="G53">
        <f>SQRT((D26/G3)^2+(J45/G19)^2)</f>
        <v>7.4372134342806664E-2</v>
      </c>
      <c r="H53">
        <f t="shared" si="3"/>
        <v>7.5580176946618907E-2</v>
      </c>
      <c r="I53">
        <f t="shared" si="4"/>
        <v>0.13519080325237726</v>
      </c>
      <c r="J53">
        <f t="shared" si="4"/>
        <v>5.5312143667044823E-3</v>
      </c>
      <c r="K53">
        <f t="shared" ref="K53:K68" si="6">E53/100</f>
        <v>2.7491849145995784E-3</v>
      </c>
      <c r="L53">
        <f t="shared" si="5"/>
        <v>3.676830200762299E-3</v>
      </c>
      <c r="M53">
        <f t="shared" si="5"/>
        <v>7.4372134342806661E-4</v>
      </c>
    </row>
    <row r="54" spans="1:16" x14ac:dyDescent="0.3">
      <c r="A54" s="11" t="s">
        <v>3</v>
      </c>
      <c r="B54" s="5">
        <f>C4/C19</f>
        <v>4.4253547477123581E-2</v>
      </c>
      <c r="C54" s="5">
        <f>E4/E19</f>
        <v>4.7197998011043747E-2</v>
      </c>
      <c r="D54" s="5">
        <f>G4/G19</f>
        <v>6.8406493989383102E-2</v>
      </c>
      <c r="E54">
        <f>SQRT((B27/C4)^2+(H45/C19)^2)</f>
        <v>5.6946821746853844E-2</v>
      </c>
      <c r="F54">
        <f>SQRT((C27/E4)^2+(I45/E19)^2)</f>
        <v>0.15071454112168534</v>
      </c>
      <c r="G54">
        <f>SQRT((D27/G4)^2+(J45/G19)^2)</f>
        <v>2.5024435941048938E-2</v>
      </c>
      <c r="H54">
        <f t="shared" si="3"/>
        <v>3.2429405070679459E-3</v>
      </c>
      <c r="I54">
        <f t="shared" si="4"/>
        <v>2.271487290552018E-2</v>
      </c>
      <c r="J54">
        <f t="shared" si="4"/>
        <v>6.2622239416766179E-4</v>
      </c>
      <c r="K54">
        <f t="shared" si="6"/>
        <v>5.6946821746853846E-4</v>
      </c>
      <c r="L54">
        <f t="shared" si="5"/>
        <v>1.5071454112168534E-3</v>
      </c>
      <c r="M54">
        <f t="shared" si="5"/>
        <v>2.5024435941048938E-4</v>
      </c>
    </row>
    <row r="55" spans="1:16" x14ac:dyDescent="0.3">
      <c r="A55" s="11" t="s">
        <v>4</v>
      </c>
      <c r="B55" s="5">
        <f>C5/C19</f>
        <v>9.5986167293873898E-3</v>
      </c>
      <c r="C55" s="5">
        <f>E5/E19</f>
        <v>7.4908899337114429E-3</v>
      </c>
      <c r="D55" s="5">
        <f>G5/G19</f>
        <v>7.921378414253076E-3</v>
      </c>
      <c r="E55">
        <f>SQRT((B28/C5)^2+(H45/C19)^2)</f>
        <v>8.5690170199923726E-2</v>
      </c>
      <c r="F55">
        <f>SQRT((C28/E5)^2+(I45/E19)^2)</f>
        <v>0.13924197417245598</v>
      </c>
      <c r="G55">
        <f>SQRT((D28/G5)^2++(J45/G19)^2)</f>
        <v>8.3802998995316139E-2</v>
      </c>
      <c r="H55">
        <f t="shared" si="3"/>
        <v>7.3428052688918966E-3</v>
      </c>
      <c r="I55">
        <f>F55^2</f>
        <v>1.9388327371442901E-2</v>
      </c>
      <c r="J55">
        <f t="shared" si="4"/>
        <v>7.0229426406089581E-3</v>
      </c>
      <c r="K55">
        <f t="shared" si="6"/>
        <v>8.5690170199923725E-4</v>
      </c>
      <c r="L55">
        <f t="shared" si="5"/>
        <v>1.3924197417245598E-3</v>
      </c>
      <c r="M55">
        <f t="shared" si="5"/>
        <v>8.3802998995316134E-4</v>
      </c>
    </row>
    <row r="56" spans="1:16" x14ac:dyDescent="0.3">
      <c r="A56" s="11" t="s">
        <v>5</v>
      </c>
      <c r="B56" s="5">
        <f>C6/C19</f>
        <v>7.8167233200128527E-2</v>
      </c>
      <c r="C56" s="5">
        <f>E6/E19</f>
        <v>8.6048238158759158E-2</v>
      </c>
      <c r="D56" s="5">
        <f>G6/G19</f>
        <v>0.11061416177022416</v>
      </c>
      <c r="E56">
        <f>SQRT((B29/C6)^2+(H45/C19)^2)</f>
        <v>0.16710152275079013</v>
      </c>
      <c r="F56">
        <f>SQRT((C29/E6)^2+(I45/E19)^2)</f>
        <v>0.27241502804183093</v>
      </c>
      <c r="G56">
        <f>SQRT((D29/G6)^2++(J45/G19)^2)</f>
        <v>7.3636546185837828E-2</v>
      </c>
      <c r="H56">
        <f t="shared" si="3"/>
        <v>2.7922918905632831E-2</v>
      </c>
      <c r="I56">
        <f t="shared" si="4"/>
        <v>7.4209947503031531E-2</v>
      </c>
      <c r="J56">
        <f t="shared" si="4"/>
        <v>5.4223409341790279E-3</v>
      </c>
      <c r="K56">
        <f t="shared" si="6"/>
        <v>1.6710152275079013E-3</v>
      </c>
      <c r="L56">
        <f t="shared" si="5"/>
        <v>2.7241502804183095E-3</v>
      </c>
      <c r="M56">
        <f t="shared" si="5"/>
        <v>7.3636546185837826E-4</v>
      </c>
    </row>
    <row r="57" spans="1:16" x14ac:dyDescent="0.3">
      <c r="A57" s="11" t="s">
        <v>6</v>
      </c>
      <c r="B57" s="5">
        <f>C7/C19</f>
        <v>5.1806363802879632E-2</v>
      </c>
      <c r="C57" s="5">
        <f>E7/E19</f>
        <v>4.3108716776866472E-2</v>
      </c>
      <c r="D57" s="5">
        <f>G7/G19</f>
        <v>5.6968311089996261E-2</v>
      </c>
      <c r="E57">
        <f>SQRT((B30/C7)^2+(H45/C19)^2)</f>
        <v>5.1761911925102468E-2</v>
      </c>
      <c r="F57">
        <f>SQRT((C30/E7)^2+(I45/E19)^2)</f>
        <v>0.16132776820268568</v>
      </c>
      <c r="G57">
        <f>SQRT((D30/G7)^2++(J45/G19)^2)</f>
        <v>6.1668219902323684E-2</v>
      </c>
      <c r="H57">
        <f t="shared" si="3"/>
        <v>2.6792955261420652E-3</v>
      </c>
      <c r="I57">
        <f t="shared" si="4"/>
        <v>2.6026648793259482E-2</v>
      </c>
      <c r="J57">
        <f t="shared" si="4"/>
        <v>3.8029693459213508E-3</v>
      </c>
      <c r="K57">
        <f t="shared" si="6"/>
        <v>5.1761911925102472E-4</v>
      </c>
      <c r="L57">
        <f t="shared" si="5"/>
        <v>1.6132776820268568E-3</v>
      </c>
      <c r="M57">
        <f t="shared" si="5"/>
        <v>6.1668219902323682E-4</v>
      </c>
    </row>
    <row r="58" spans="1:16" x14ac:dyDescent="0.3">
      <c r="A58" s="11" t="s">
        <v>7</v>
      </c>
      <c r="B58" s="5">
        <f>C8/C19</f>
        <v>2.0681867309824402E-2</v>
      </c>
      <c r="C58" s="5">
        <f>E8/E19</f>
        <v>4.2556301306095126E-2</v>
      </c>
      <c r="D58" s="5">
        <f>G8/G19</f>
        <v>5.9995884135186285E-2</v>
      </c>
      <c r="E58">
        <f>SQRT((B31/C8)^2+(H45/C19)^2)</f>
        <v>9.7391204374252596E-2</v>
      </c>
      <c r="F58">
        <f>SQRT((C31/E8)^2+(I45/E19)^2)</f>
        <v>0.21645155966845903</v>
      </c>
      <c r="G58">
        <f>SQRT((D31/G8)^2++(J45/G19)^2)</f>
        <v>0.10770643247513224</v>
      </c>
      <c r="H58">
        <f t="shared" si="3"/>
        <v>9.4850466894674385E-3</v>
      </c>
      <c r="I58">
        <f t="shared" si="4"/>
        <v>4.6851277682908476E-2</v>
      </c>
      <c r="J58">
        <f t="shared" si="4"/>
        <v>1.1600675596520222E-2</v>
      </c>
      <c r="K58">
        <f t="shared" si="6"/>
        <v>9.7391204374252594E-4</v>
      </c>
      <c r="L58">
        <f t="shared" si="5"/>
        <v>2.1645155966845903E-3</v>
      </c>
      <c r="M58">
        <f t="shared" si="5"/>
        <v>1.0770643247513224E-3</v>
      </c>
    </row>
    <row r="59" spans="1:16" x14ac:dyDescent="0.3">
      <c r="A59" s="11" t="s">
        <v>8</v>
      </c>
      <c r="B59" s="5">
        <f>C9/C19</f>
        <v>5.485700175359115E-2</v>
      </c>
      <c r="C59" s="5">
        <f>E9/E19</f>
        <v>4.6300604681664012E-2</v>
      </c>
      <c r="D59" s="5">
        <f>G9/G19</f>
        <v>5.6673869368724365E-2</v>
      </c>
      <c r="E59">
        <f>SQRT((B32/C9)^2+(H45/C19)^2)</f>
        <v>7.6998753790514962E-2</v>
      </c>
      <c r="F59">
        <f>SQRT((C32/E9)^2+(I45/E19)^2)</f>
        <v>0.22493619351290273</v>
      </c>
      <c r="G59">
        <f>SQRT((D32/G9)^2++(J45/G19)^2)</f>
        <v>6.2728932354877323E-2</v>
      </c>
      <c r="H59">
        <f t="shared" si="3"/>
        <v>5.9288080852923425E-3</v>
      </c>
      <c r="I59">
        <f t="shared" si="4"/>
        <v>5.0596291152074022E-2</v>
      </c>
      <c r="J59">
        <f t="shared" si="4"/>
        <v>3.934918954382775E-3</v>
      </c>
      <c r="K59">
        <f t="shared" si="6"/>
        <v>7.6998753790514965E-4</v>
      </c>
      <c r="L59">
        <f t="shared" si="5"/>
        <v>2.2493619351290272E-3</v>
      </c>
      <c r="M59">
        <f t="shared" si="5"/>
        <v>6.2728932354877323E-4</v>
      </c>
    </row>
    <row r="60" spans="1:16" x14ac:dyDescent="0.3">
      <c r="A60" s="11" t="s">
        <v>9</v>
      </c>
      <c r="B60" s="5">
        <f>C10/C19</f>
        <v>4.6108550060418377E-2</v>
      </c>
      <c r="C60" s="5">
        <f>E10/E19</f>
        <v>5.2347728703526037E-3</v>
      </c>
      <c r="D60" s="5">
        <f>G10/G19</f>
        <v>4.9027775591271375E-3</v>
      </c>
      <c r="E60">
        <f>SQRT((B33/C10)^2+(H45/C19)^2)</f>
        <v>0.13388073121123911</v>
      </c>
      <c r="F60">
        <f>SQRT((C33/E10)^2+(I45/E19)^2)</f>
        <v>0.32010421938220407</v>
      </c>
      <c r="G60">
        <f>SQRT((D33/G10)^2+(J45/G19)^2)</f>
        <v>0.1756626935708836</v>
      </c>
      <c r="H60">
        <f t="shared" si="3"/>
        <v>1.7924050189656055E-2</v>
      </c>
      <c r="I60">
        <f t="shared" si="4"/>
        <v>0.10246671126629023</v>
      </c>
      <c r="J60">
        <f t="shared" si="4"/>
        <v>3.0857381912578152E-2</v>
      </c>
      <c r="K60">
        <f t="shared" si="6"/>
        <v>1.3388073121123911E-3</v>
      </c>
      <c r="L60">
        <f t="shared" si="5"/>
        <v>3.2010421938220407E-3</v>
      </c>
      <c r="M60">
        <f t="shared" si="5"/>
        <v>1.756626935708836E-3</v>
      </c>
    </row>
    <row r="61" spans="1:16" x14ac:dyDescent="0.3">
      <c r="A61" s="11" t="s">
        <v>10</v>
      </c>
      <c r="B61" s="5">
        <f>C11/C19</f>
        <v>5.1557254685521768E-2</v>
      </c>
      <c r="C61" s="5">
        <f>E11/E19</f>
        <v>3.3037438379082594E-2</v>
      </c>
      <c r="D61" s="5">
        <f>G11/G19</f>
        <v>3.636375484993052E-2</v>
      </c>
      <c r="E61">
        <f>SQRT((B34/C11)^2+(H45/C19)^2)</f>
        <v>0.12777876798157545</v>
      </c>
      <c r="F61">
        <f>SQRT((C34/E11)^2+(I45/E19)^2)</f>
        <v>0.25877030230258474</v>
      </c>
      <c r="G61">
        <f>SQRT((D34/G11)^2+(J45/G19)^2)</f>
        <v>0.14733624080794377</v>
      </c>
      <c r="H61">
        <f t="shared" si="3"/>
        <v>1.632741354688929E-2</v>
      </c>
      <c r="I61">
        <f t="shared" si="4"/>
        <v>6.6962069353771095E-2</v>
      </c>
      <c r="J61">
        <f t="shared" si="4"/>
        <v>2.1707967855416396E-2</v>
      </c>
      <c r="K61">
        <f t="shared" si="6"/>
        <v>1.2777876798157545E-3</v>
      </c>
      <c r="L61">
        <f t="shared" si="5"/>
        <v>2.5877030230258475E-3</v>
      </c>
      <c r="M61">
        <f t="shared" si="5"/>
        <v>1.4733624080794378E-3</v>
      </c>
    </row>
    <row r="62" spans="1:16" x14ac:dyDescent="0.3">
      <c r="A62" s="11" t="s">
        <v>26</v>
      </c>
      <c r="B62" s="5">
        <f>C12/C19</f>
        <v>0.24926468695069426</v>
      </c>
      <c r="C62" s="5">
        <f>E12/E19</f>
        <v>0.29333276485940113</v>
      </c>
      <c r="D62" s="5">
        <f>G12/G19</f>
        <v>0.2113996771820971</v>
      </c>
      <c r="E62">
        <f>SQRT((B35/C12)^2+(H45/C19)^2)</f>
        <v>0.24091940644944126</v>
      </c>
      <c r="F62">
        <f>SQRT((C35/E12)^2+(I45/E19)^2)</f>
        <v>0.47428984069056274</v>
      </c>
      <c r="G62">
        <f>SQRT((D35/G12)^2+(J45/G19)^2)</f>
        <v>0.16574782091034074</v>
      </c>
      <c r="H62">
        <f t="shared" si="3"/>
        <v>5.8042160403951083E-2</v>
      </c>
      <c r="I62">
        <f t="shared" si="4"/>
        <v>0.22495085298227938</v>
      </c>
      <c r="J62">
        <f t="shared" si="4"/>
        <v>2.7472340136526385E-2</v>
      </c>
      <c r="K62">
        <f t="shared" si="6"/>
        <v>2.4091940644944128E-3</v>
      </c>
      <c r="L62">
        <f t="shared" si="5"/>
        <v>4.742898406905627E-3</v>
      </c>
      <c r="M62">
        <f t="shared" si="5"/>
        <v>1.6574782091034073E-3</v>
      </c>
    </row>
    <row r="63" spans="1:16" x14ac:dyDescent="0.3">
      <c r="A63" s="11" t="s">
        <v>11</v>
      </c>
      <c r="B63" s="5">
        <f>C13/C19</f>
        <v>3.1609363887424767E-2</v>
      </c>
      <c r="C63" s="5">
        <f>E13/E19</f>
        <v>4.6968981155684425E-3</v>
      </c>
      <c r="D63" s="5">
        <f>G13/G19</f>
        <v>4.9171108541318873E-3</v>
      </c>
      <c r="E63">
        <f>SQRT((B36/C13)^2+(H45/C19)^2)</f>
        <v>0.20927876927941527</v>
      </c>
      <c r="F63">
        <f>SQRT((C36/E13)^2+(I45/E19)^2)</f>
        <v>0.26990889621485409</v>
      </c>
      <c r="G63">
        <f>SQRT((D36/G13)^2+(J45/G19)^2)</f>
        <v>0.14356340649234933</v>
      </c>
      <c r="H63">
        <f t="shared" si="3"/>
        <v>4.3797603271106732E-2</v>
      </c>
      <c r="I63">
        <f t="shared" si="4"/>
        <v>7.2850812255920869E-2</v>
      </c>
      <c r="J63">
        <f t="shared" si="4"/>
        <v>2.0610451683687532E-2</v>
      </c>
      <c r="K63">
        <f t="shared" si="6"/>
        <v>2.0927876927941528E-3</v>
      </c>
      <c r="L63">
        <f t="shared" si="5"/>
        <v>2.6990889621485411E-3</v>
      </c>
      <c r="M63">
        <f t="shared" si="5"/>
        <v>1.4356340649234933E-3</v>
      </c>
    </row>
    <row r="64" spans="1:16" x14ac:dyDescent="0.3">
      <c r="A64" s="11" t="s">
        <v>12</v>
      </c>
      <c r="B64" s="5">
        <f>C14/C19</f>
        <v>7.7918406139001264E-3</v>
      </c>
      <c r="C64" s="5">
        <f>E14/E19</f>
        <v>2.9954613020825214E-3</v>
      </c>
      <c r="D64" s="5">
        <f>G14/G19</f>
        <v>1.0466335596399452E-3</v>
      </c>
      <c r="E64">
        <f>SQRT((B37/C14)^2+(H45/C19)^2)</f>
        <v>5.4316129728110479E-2</v>
      </c>
      <c r="F64">
        <f>SQRT((C37/E14)^2+(I45/E19)^2)</f>
        <v>0.24916234144203062</v>
      </c>
      <c r="G64">
        <f>SQRT((D37/G14)^2+(J45/G19)^2)</f>
        <v>4.7966113835687732E-2</v>
      </c>
      <c r="H64">
        <f t="shared" si="3"/>
        <v>2.9502419486409268E-3</v>
      </c>
      <c r="I64">
        <f t="shared" si="4"/>
        <v>6.2081872392875048E-2</v>
      </c>
      <c r="J64">
        <f t="shared" si="4"/>
        <v>2.3007480764981542E-3</v>
      </c>
      <c r="K64">
        <f t="shared" si="6"/>
        <v>5.431612972811048E-4</v>
      </c>
      <c r="L64">
        <f t="shared" si="5"/>
        <v>2.4916234144203063E-3</v>
      </c>
      <c r="M64">
        <f t="shared" si="5"/>
        <v>4.7966113835687732E-4</v>
      </c>
    </row>
    <row r="65" spans="1:13" x14ac:dyDescent="0.3">
      <c r="A65" s="11" t="s">
        <v>13</v>
      </c>
      <c r="B65" s="5">
        <f>C15/C19</f>
        <v>0.11409528071180498</v>
      </c>
      <c r="C65" s="5">
        <f>E15/E19</f>
        <v>0.12896087861935115</v>
      </c>
      <c r="D65" s="5">
        <f>G15/G19</f>
        <v>0.18454840466451239</v>
      </c>
      <c r="E65">
        <f>SQRT((B38/C15)^2+(H45/C19)^2)</f>
        <v>0.1104125633040772</v>
      </c>
      <c r="F65">
        <f>SQRT((C38/E15)^2+(I45/E19)^2)</f>
        <v>0.21123633305605458</v>
      </c>
      <c r="G65">
        <f>SQRT((D38/G15)^2+(J45/G19)^2)</f>
        <v>5.8531796795124762E-2</v>
      </c>
      <c r="H65">
        <f t="shared" si="3"/>
        <v>1.2190934135376854E-2</v>
      </c>
      <c r="I65">
        <f t="shared" si="4"/>
        <v>4.4620788402968417E-2</v>
      </c>
      <c r="J65">
        <f t="shared" si="4"/>
        <v>3.4259712360657775E-3</v>
      </c>
      <c r="K65">
        <f t="shared" si="6"/>
        <v>1.104125633040772E-3</v>
      </c>
      <c r="L65">
        <f t="shared" si="5"/>
        <v>2.1123633305605459E-3</v>
      </c>
      <c r="M65">
        <f t="shared" si="5"/>
        <v>5.853179679512476E-4</v>
      </c>
    </row>
    <row r="66" spans="1:13" x14ac:dyDescent="0.3">
      <c r="A66" s="11" t="s">
        <v>14</v>
      </c>
      <c r="B66" s="5">
        <f>C16/C19</f>
        <v>2.0918159602233608E-3</v>
      </c>
      <c r="C66" s="5">
        <f>E16/E19</f>
        <v>3.2345212694532793E-3</v>
      </c>
      <c r="D66" s="5">
        <f>G16/G19</f>
        <v>5.7862558221294762E-3</v>
      </c>
      <c r="E66">
        <f>SQRT((B39/C16)^2+(H45/C19)^2)</f>
        <v>5.1562791584091994E-2</v>
      </c>
      <c r="F66">
        <f>SQRT((C39/E16)^2+(I45/E19)^2)</f>
        <v>0.11241367638641793</v>
      </c>
      <c r="G66">
        <f>SQRT((D39/G16)^2+(J45/G19)^2)</f>
        <v>3.1982112013446598E-2</v>
      </c>
      <c r="H66">
        <f t="shared" si="3"/>
        <v>2.6587214759445079E-3</v>
      </c>
      <c r="I66">
        <f t="shared" si="4"/>
        <v>1.2636834638710296E-2</v>
      </c>
      <c r="J66">
        <f t="shared" si="4"/>
        <v>1.0228554888406453E-3</v>
      </c>
      <c r="K66">
        <f t="shared" si="6"/>
        <v>5.1562791584091998E-4</v>
      </c>
      <c r="L66">
        <f t="shared" si="5"/>
        <v>1.1241367638641793E-3</v>
      </c>
      <c r="M66">
        <f t="shared" si="5"/>
        <v>3.1982112013446599E-4</v>
      </c>
    </row>
    <row r="67" spans="1:13" x14ac:dyDescent="0.3">
      <c r="A67" s="11" t="s">
        <v>27</v>
      </c>
      <c r="B67" s="5">
        <f>C17/C19</f>
        <v>0.10808547210697328</v>
      </c>
      <c r="C67" s="5">
        <f>E17/E19</f>
        <v>0.13316940623870227</v>
      </c>
      <c r="D67" s="5">
        <f>G17/G19</f>
        <v>1.8023193944259847E-2</v>
      </c>
      <c r="E67">
        <f>SQRT((B40/C17)^2+(H45/C19)^2)</f>
        <v>0.19790211458129789</v>
      </c>
      <c r="F67">
        <f>SQRT((C40/E17)^2+(I45/E19)^2)</f>
        <v>0.52572385662765997</v>
      </c>
      <c r="G67">
        <f>SQRT((D40/G17)^2+(J45/G19)^2)</f>
        <v>0.16833071463202534</v>
      </c>
      <c r="H67">
        <f t="shared" si="3"/>
        <v>3.9165246955749161E-2</v>
      </c>
      <c r="I67">
        <f t="shared" si="4"/>
        <v>0.2763855734274604</v>
      </c>
      <c r="J67">
        <f t="shared" si="4"/>
        <v>2.833522948852835E-2</v>
      </c>
      <c r="K67">
        <f t="shared" si="6"/>
        <v>1.979021145812979E-3</v>
      </c>
      <c r="L67">
        <f t="shared" si="5"/>
        <v>5.2572385662765994E-3</v>
      </c>
      <c r="M67">
        <f t="shared" si="5"/>
        <v>1.6833071463202534E-3</v>
      </c>
    </row>
    <row r="68" spans="1:13" x14ac:dyDescent="0.3">
      <c r="A68" s="11" t="s">
        <v>28</v>
      </c>
      <c r="B68" s="5">
        <f>C18/C19</f>
        <v>1.9184895176749563E-2</v>
      </c>
      <c r="C68" s="5">
        <f>E18/E19</f>
        <v>1.3921778205092342E-2</v>
      </c>
      <c r="D68" s="5">
        <f>G18/G19</f>
        <v>1.6517144648617529E-2</v>
      </c>
      <c r="E68">
        <f>SQRT((B41/C18)^2+(H45/C19)^2)</f>
        <v>0.31443367137197431</v>
      </c>
      <c r="F68">
        <f>SQRT((C41/E18)^2+(I45/E19)^2)</f>
        <v>0.19909845156571648</v>
      </c>
      <c r="G68">
        <f>SQRT((D41/G18)^2+(J45/G19)^2)</f>
        <v>7.741309688690183E-2</v>
      </c>
      <c r="H68">
        <f t="shared" si="3"/>
        <v>9.8868533692458738E-2</v>
      </c>
      <c r="I68">
        <f>F68^2</f>
        <v>3.964019341586595E-2</v>
      </c>
      <c r="J68">
        <f>G68^2</f>
        <v>5.9927875696208499E-3</v>
      </c>
      <c r="K68">
        <f t="shared" si="6"/>
        <v>3.1443367137197432E-3</v>
      </c>
      <c r="L68">
        <f>F68/100</f>
        <v>1.9909845156571649E-3</v>
      </c>
      <c r="M68">
        <f>G68/100</f>
        <v>7.7413096886901826E-4</v>
      </c>
    </row>
    <row r="69" spans="1:13" ht="15" thickBot="1" x14ac:dyDescent="0.35"/>
    <row r="70" spans="1:13" ht="15" thickBot="1" x14ac:dyDescent="0.35">
      <c r="A70" s="6" t="s">
        <v>90</v>
      </c>
      <c r="B70" s="20">
        <f>SUM(B52:B68)</f>
        <v>1</v>
      </c>
      <c r="C70" s="20">
        <f>SUM(C52:C68)</f>
        <v>0.99999999999999967</v>
      </c>
      <c r="D70" s="20">
        <f>SUM(D52:D68)</f>
        <v>0.99999999999999989</v>
      </c>
      <c r="G70" s="27" t="s">
        <v>110</v>
      </c>
      <c r="H70" s="28">
        <f>SQRT(SUM(H52:H68))</f>
        <v>0.65648632339459057</v>
      </c>
      <c r="I70" s="28">
        <f>SQRT(SUM(I52:I68))</f>
        <v>1.1435783805026836</v>
      </c>
      <c r="J70" s="29">
        <f>SQRT(SUM(J52:J68))</f>
        <v>0.42531531401818973</v>
      </c>
    </row>
    <row r="73" spans="1:13" x14ac:dyDescent="0.3">
      <c r="E73" t="s">
        <v>111</v>
      </c>
    </row>
    <row r="74" spans="1:13" x14ac:dyDescent="0.3">
      <c r="A74" t="s">
        <v>31</v>
      </c>
      <c r="B74" t="s">
        <v>95</v>
      </c>
      <c r="C74" t="s">
        <v>96</v>
      </c>
      <c r="D74" t="s">
        <v>97</v>
      </c>
      <c r="E74" t="s">
        <v>120</v>
      </c>
      <c r="F74" t="s">
        <v>121</v>
      </c>
      <c r="G74" t="s">
        <v>122</v>
      </c>
      <c r="H74" t="s">
        <v>104</v>
      </c>
      <c r="I74" t="s">
        <v>105</v>
      </c>
      <c r="J74" t="s">
        <v>106</v>
      </c>
    </row>
    <row r="75" spans="1:13" x14ac:dyDescent="0.3">
      <c r="A75" t="s">
        <v>94</v>
      </c>
    </row>
    <row r="76" spans="1:13" x14ac:dyDescent="0.3">
      <c r="A76" t="s">
        <v>12</v>
      </c>
      <c r="B76">
        <f>C14</f>
        <v>1.582956918263277</v>
      </c>
      <c r="C76">
        <f>E14</f>
        <v>0.91852915393941403</v>
      </c>
      <c r="D76">
        <f>G14</f>
        <v>0.16786370300492304</v>
      </c>
      <c r="E76">
        <f>B37</f>
        <v>8.2005644765310151E-2</v>
      </c>
      <c r="F76">
        <f>C37</f>
        <v>0.22292394618113218</v>
      </c>
      <c r="G76">
        <f>D37</f>
        <v>7.9627435776026892E-3</v>
      </c>
      <c r="H76">
        <f>E76^2</f>
        <v>6.7249257733742402E-3</v>
      </c>
      <c r="I76">
        <f t="shared" ref="I76:J83" si="7">F76^2</f>
        <v>4.9695085780968318E-2</v>
      </c>
      <c r="J76">
        <f t="shared" si="7"/>
        <v>6.3405285282652868E-5</v>
      </c>
    </row>
    <row r="77" spans="1:13" x14ac:dyDescent="0.3">
      <c r="A77" t="s">
        <v>28</v>
      </c>
      <c r="B77">
        <f>C18</f>
        <v>3.8975210160248221</v>
      </c>
      <c r="C77">
        <f>E18</f>
        <v>4.268978252920645</v>
      </c>
      <c r="D77">
        <f>G18</f>
        <v>2.6490924528912534</v>
      </c>
      <c r="E77">
        <f>B41</f>
        <v>1.2238593729281335</v>
      </c>
      <c r="F77">
        <f>C41</f>
        <v>0.81513994795186329</v>
      </c>
      <c r="G77">
        <f>D41</f>
        <v>0.20420691209023584</v>
      </c>
      <c r="H77">
        <f t="shared" ref="H77:H84" si="8">E77^2</f>
        <v>1.4978317647040442</v>
      </c>
      <c r="I77">
        <f t="shared" si="7"/>
        <v>0.66445313474696643</v>
      </c>
      <c r="J77">
        <f t="shared" si="7"/>
        <v>4.1700462945429305E-2</v>
      </c>
    </row>
    <row r="78" spans="1:13" x14ac:dyDescent="0.3">
      <c r="A78" t="s">
        <v>3</v>
      </c>
      <c r="B78">
        <f>C4</f>
        <v>8.9903608926032188</v>
      </c>
      <c r="C78">
        <f>E4</f>
        <v>14.472808295195877</v>
      </c>
      <c r="D78">
        <f>G4</f>
        <v>10.971334986231607</v>
      </c>
      <c r="E78">
        <f>B27</f>
        <v>0.49048935161553248</v>
      </c>
      <c r="F78">
        <f>C27</f>
        <v>2.0228131724005265</v>
      </c>
      <c r="G78">
        <f>D27</f>
        <v>0.2632266209268907</v>
      </c>
      <c r="H78">
        <f t="shared" si="8"/>
        <v>0.24057980404822546</v>
      </c>
      <c r="I78">
        <f t="shared" si="7"/>
        <v>4.0917731304370824</v>
      </c>
      <c r="J78">
        <f t="shared" si="7"/>
        <v>6.9288253964589014E-2</v>
      </c>
    </row>
    <row r="79" spans="1:13" x14ac:dyDescent="0.3">
      <c r="A79" t="s">
        <v>1</v>
      </c>
      <c r="B79">
        <f>C3</f>
        <v>12.738507732331698</v>
      </c>
      <c r="C79">
        <f>E3</f>
        <v>17.583649896599791</v>
      </c>
      <c r="D79">
        <f>G3</f>
        <v>12.968215551087839</v>
      </c>
      <c r="E79">
        <f>B26</f>
        <v>3.4958728871829097</v>
      </c>
      <c r="F79">
        <f>C26</f>
        <v>6.3887136043039163</v>
      </c>
      <c r="G79">
        <f>D26</f>
        <v>0.9600525371676365</v>
      </c>
      <c r="H79">
        <f t="shared" si="8"/>
        <v>12.221127243340574</v>
      </c>
      <c r="I79">
        <f t="shared" si="7"/>
        <v>40.815661517817936</v>
      </c>
      <c r="J79">
        <f t="shared" si="7"/>
        <v>0.92170087412201607</v>
      </c>
    </row>
    <row r="80" spans="1:13" x14ac:dyDescent="0.3">
      <c r="A80" t="s">
        <v>13</v>
      </c>
      <c r="B80">
        <f>C15</f>
        <v>23.179107850557131</v>
      </c>
      <c r="C80">
        <f>E15</f>
        <v>39.544602578295233</v>
      </c>
      <c r="D80">
        <f>G15</f>
        <v>29.598686479433365</v>
      </c>
      <c r="E80">
        <f>B38</f>
        <v>2.5311423360909417</v>
      </c>
      <c r="F80">
        <f>C38</f>
        <v>8.0500786002471028</v>
      </c>
      <c r="G80">
        <f>D38</f>
        <v>1.7196238727549624</v>
      </c>
      <c r="H80">
        <f t="shared" si="8"/>
        <v>6.4066815255519103</v>
      </c>
      <c r="I80">
        <f t="shared" si="7"/>
        <v>64.80376547015635</v>
      </c>
      <c r="J80">
        <f t="shared" si="7"/>
        <v>2.9571062637487753</v>
      </c>
    </row>
    <row r="81" spans="1:10" x14ac:dyDescent="0.3">
      <c r="A81" t="s">
        <v>4</v>
      </c>
      <c r="B81">
        <f>C5</f>
        <v>1.9500138042397785</v>
      </c>
      <c r="C81">
        <f>E5</f>
        <v>2.2970087406175721</v>
      </c>
      <c r="D81">
        <f>G5</f>
        <v>1.2704655810742622</v>
      </c>
      <c r="E81">
        <f>B28</f>
        <v>0.16403729046227955</v>
      </c>
      <c r="F81">
        <f>C28</f>
        <v>0.29243472250839697</v>
      </c>
      <c r="G81">
        <f>D28</f>
        <v>0.10608461088541382</v>
      </c>
      <c r="H81">
        <f t="shared" si="8"/>
        <v>2.690823266220627E-2</v>
      </c>
      <c r="I81">
        <f t="shared" si="7"/>
        <v>8.5518066928563133E-2</v>
      </c>
      <c r="J81">
        <f t="shared" si="7"/>
        <v>1.125394466670966E-2</v>
      </c>
    </row>
    <row r="82" spans="1:10" x14ac:dyDescent="0.3">
      <c r="A82" t="s">
        <v>0</v>
      </c>
      <c r="B82">
        <f>C2</f>
        <v>9.7805327616930064</v>
      </c>
      <c r="C82">
        <f>E2</f>
        <v>15.752238678055898</v>
      </c>
      <c r="D82">
        <f>G2</f>
        <v>12.038110979194354</v>
      </c>
      <c r="E82">
        <f>B25</f>
        <v>0.79463130606543475</v>
      </c>
      <c r="F82">
        <f>C25</f>
        <v>2.5891920652142133</v>
      </c>
      <c r="G82">
        <f>D25</f>
        <v>0.41273390115877356</v>
      </c>
      <c r="H82">
        <f t="shared" si="8"/>
        <v>0.63143891257925866</v>
      </c>
      <c r="I82">
        <f t="shared" si="7"/>
        <v>6.7039155505682428</v>
      </c>
      <c r="J82">
        <f t="shared" si="7"/>
        <v>0.17034927316574028</v>
      </c>
    </row>
    <row r="83" spans="1:10" x14ac:dyDescent="0.3">
      <c r="A83" t="s">
        <v>9</v>
      </c>
      <c r="B83">
        <f>C10</f>
        <v>9.3672152609259527</v>
      </c>
      <c r="C83">
        <f>E10</f>
        <v>1.605192326246087</v>
      </c>
      <c r="D83">
        <f>G10</f>
        <v>0.7863290723905707</v>
      </c>
      <c r="E83">
        <f>B33</f>
        <v>1.2447334912224357</v>
      </c>
      <c r="F83">
        <f>C33</f>
        <v>0.50579225971882147</v>
      </c>
      <c r="G83">
        <f>D33</f>
        <v>0.1380153934326544</v>
      </c>
      <c r="H83">
        <f t="shared" si="8"/>
        <v>1.5493614641707933</v>
      </c>
      <c r="I83">
        <f t="shared" si="7"/>
        <v>0.25582580999147175</v>
      </c>
      <c r="J83">
        <f t="shared" si="7"/>
        <v>1.9048248824370381E-2</v>
      </c>
    </row>
    <row r="84" spans="1:10" x14ac:dyDescent="0.3">
      <c r="A84" t="s">
        <v>5</v>
      </c>
      <c r="B84">
        <f>C6</f>
        <v>15.880119821099354</v>
      </c>
      <c r="C84">
        <f>E6</f>
        <v>26.385857610309682</v>
      </c>
      <c r="D84">
        <f>G6</f>
        <v>17.740786762009691</v>
      </c>
      <c r="E84" s="9">
        <f>B29</f>
        <v>2.6409012505565856</v>
      </c>
      <c r="F84" s="9">
        <f>C29</f>
        <v>7.0322017205815017</v>
      </c>
      <c r="G84" s="9">
        <f>D29</f>
        <v>1.3002610869332258</v>
      </c>
      <c r="H84">
        <f t="shared" si="8"/>
        <v>6.974359415191338</v>
      </c>
      <c r="I84">
        <f>F84^2</f>
        <v>49.451861038949431</v>
      </c>
      <c r="J84">
        <f>G84^2</f>
        <v>1.690678894192774</v>
      </c>
    </row>
    <row r="85" spans="1:10" x14ac:dyDescent="0.3">
      <c r="A85" t="s">
        <v>98</v>
      </c>
      <c r="B85">
        <f>SUM(B76:B84)</f>
        <v>87.366336057738238</v>
      </c>
      <c r="C85">
        <f>SUM(C76:C84)</f>
        <v>122.8288655321802</v>
      </c>
      <c r="D85">
        <f>SUM(D76:D84)</f>
        <v>88.190885567317864</v>
      </c>
      <c r="E85">
        <f>SQRT(H85)</f>
        <v>5.4364522703709746</v>
      </c>
      <c r="F85">
        <f>SQRT(I85)</f>
        <v>12.91984786308945</v>
      </c>
      <c r="G85">
        <f>SQRT(J85)</f>
        <v>2.4251164138893802</v>
      </c>
      <c r="H85">
        <f>SUM(H76:H84)</f>
        <v>29.555013288021723</v>
      </c>
      <c r="I85">
        <f>SUM(I76:I84)</f>
        <v>166.92246880537701</v>
      </c>
      <c r="J85">
        <f>SUM(J76:J84)</f>
        <v>5.8811896209156869</v>
      </c>
    </row>
    <row r="86" spans="1:10" x14ac:dyDescent="0.3">
      <c r="A86" t="s">
        <v>101</v>
      </c>
      <c r="B86" s="19">
        <f>B85/C19</f>
        <v>0.43004617354286745</v>
      </c>
      <c r="C86" s="5">
        <f>C85/E19</f>
        <v>0.40056334837316654</v>
      </c>
      <c r="D86" s="5">
        <f>D85/G19</f>
        <v>0.54987194275354412</v>
      </c>
    </row>
    <row r="87" spans="1:10" ht="15" thickBot="1" x14ac:dyDescent="0.35">
      <c r="A87" t="s">
        <v>108</v>
      </c>
      <c r="E87">
        <f>SQRT(E64^2+E68^2+E54^2+E53^2+E65^2+E55^2+E52^2+E60^2+E56^2)</f>
        <v>0.50288169269680549</v>
      </c>
      <c r="F87">
        <f>SQRT(F64^2+F68^2+F54^2+F53^2+F65^2+F55^2+F52^2+F60^2+F56^2)</f>
        <v>0.72836196500555728</v>
      </c>
      <c r="G87">
        <f>SQRT(G64^2+G68^2+G54^2+G53^2+G65^2+G55^2+G52^2+G60^2+G56^2)</f>
        <v>0.2498113443952609</v>
      </c>
    </row>
    <row r="88" spans="1:10" ht="15" thickBot="1" x14ac:dyDescent="0.35">
      <c r="A88" s="23" t="s">
        <v>109</v>
      </c>
      <c r="B88" s="24"/>
      <c r="C88" s="24"/>
      <c r="D88" s="24"/>
      <c r="E88" s="25">
        <f>B86*SQRT((E87/B85)^2+(H45/C19)^2)</f>
        <v>7.4433879505182441E-3</v>
      </c>
      <c r="F88" s="25">
        <f>C86*SQRT((F87/C85)^2+(I45/E19)^2)</f>
        <v>2.2713649193403875E-2</v>
      </c>
      <c r="G88" s="26">
        <f>D86*SQRT((G87/D85)^2+(J45/G19)^2)</f>
        <v>4.2100152627567037E-3</v>
      </c>
    </row>
    <row r="89" spans="1:10" x14ac:dyDescent="0.3">
      <c r="E89" t="s">
        <v>113</v>
      </c>
    </row>
    <row r="90" spans="1:10" x14ac:dyDescent="0.3">
      <c r="A90" s="33" t="s">
        <v>99</v>
      </c>
      <c r="B90" s="34"/>
      <c r="C90" s="34"/>
      <c r="D90" s="34"/>
      <c r="E90" s="34" t="s">
        <v>95</v>
      </c>
      <c r="F90" s="34" t="s">
        <v>96</v>
      </c>
      <c r="G90" s="34" t="s">
        <v>97</v>
      </c>
      <c r="H90" s="34" t="s">
        <v>104</v>
      </c>
      <c r="I90" s="34" t="s">
        <v>105</v>
      </c>
      <c r="J90" s="34" t="s">
        <v>106</v>
      </c>
    </row>
    <row r="91" spans="1:10" x14ac:dyDescent="0.3">
      <c r="A91" s="34" t="s">
        <v>3</v>
      </c>
      <c r="B91" s="34">
        <f t="shared" ref="B91:G92" si="9">B78</f>
        <v>8.9903608926032188</v>
      </c>
      <c r="C91" s="34">
        <f t="shared" si="9"/>
        <v>14.472808295195877</v>
      </c>
      <c r="D91" s="34">
        <f t="shared" si="9"/>
        <v>10.971334986231607</v>
      </c>
      <c r="E91" s="34">
        <f t="shared" si="9"/>
        <v>0.49048935161553248</v>
      </c>
      <c r="F91" s="34">
        <f t="shared" si="9"/>
        <v>2.0228131724005265</v>
      </c>
      <c r="G91" s="34">
        <f t="shared" si="9"/>
        <v>0.2632266209268907</v>
      </c>
      <c r="H91" s="34">
        <f>E91^2</f>
        <v>0.24057980404822546</v>
      </c>
      <c r="I91" s="34">
        <f t="shared" ref="I91:J93" si="10">F91^2</f>
        <v>4.0917731304370824</v>
      </c>
      <c r="J91" s="34">
        <f t="shared" si="10"/>
        <v>6.9288253964589014E-2</v>
      </c>
    </row>
    <row r="92" spans="1:10" x14ac:dyDescent="0.3">
      <c r="A92" s="34" t="s">
        <v>1</v>
      </c>
      <c r="B92" s="34">
        <f t="shared" si="9"/>
        <v>12.738507732331698</v>
      </c>
      <c r="C92" s="34">
        <f t="shared" si="9"/>
        <v>17.583649896599791</v>
      </c>
      <c r="D92" s="34">
        <f t="shared" si="9"/>
        <v>12.968215551087839</v>
      </c>
      <c r="E92" s="34">
        <f t="shared" si="9"/>
        <v>3.4958728871829097</v>
      </c>
      <c r="F92" s="34">
        <f t="shared" si="9"/>
        <v>6.3887136043039163</v>
      </c>
      <c r="G92" s="34">
        <f t="shared" si="9"/>
        <v>0.9600525371676365</v>
      </c>
      <c r="H92" s="34">
        <f>E92^2</f>
        <v>12.221127243340574</v>
      </c>
      <c r="I92" s="34">
        <f t="shared" si="10"/>
        <v>40.815661517817936</v>
      </c>
      <c r="J92" s="34">
        <f t="shared" si="10"/>
        <v>0.92170087412201607</v>
      </c>
    </row>
    <row r="93" spans="1:10" x14ac:dyDescent="0.3">
      <c r="A93" s="34" t="s">
        <v>5</v>
      </c>
      <c r="B93" s="34">
        <f t="shared" ref="B93:G93" si="11">B84</f>
        <v>15.880119821099354</v>
      </c>
      <c r="C93" s="34">
        <f t="shared" si="11"/>
        <v>26.385857610309682</v>
      </c>
      <c r="D93" s="34">
        <f t="shared" si="11"/>
        <v>17.740786762009691</v>
      </c>
      <c r="E93" s="34">
        <f t="shared" si="11"/>
        <v>2.6409012505565856</v>
      </c>
      <c r="F93" s="34">
        <f t="shared" si="11"/>
        <v>7.0322017205815017</v>
      </c>
      <c r="G93" s="34">
        <f t="shared" si="11"/>
        <v>1.3002610869332258</v>
      </c>
      <c r="H93" s="34">
        <f>E93^2</f>
        <v>6.974359415191338</v>
      </c>
      <c r="I93" s="34">
        <f>F93^2</f>
        <v>49.451861038949431</v>
      </c>
      <c r="J93" s="34">
        <f t="shared" si="10"/>
        <v>1.690678894192774</v>
      </c>
    </row>
    <row r="94" spans="1:10" ht="15" thickBot="1" x14ac:dyDescent="0.35">
      <c r="A94" s="34" t="s">
        <v>98</v>
      </c>
      <c r="B94" s="35">
        <f>SUM(B91:B93)</f>
        <v>37.608988446034274</v>
      </c>
      <c r="C94" s="35">
        <f>SUM(C91:C93)</f>
        <v>58.442315802105355</v>
      </c>
      <c r="D94" s="35">
        <f>SUM(D91:D93)</f>
        <v>41.680337299329139</v>
      </c>
      <c r="E94" s="35"/>
      <c r="F94" s="35"/>
      <c r="G94" s="35"/>
      <c r="H94" s="34">
        <f>SUM(H91:H93)</f>
        <v>19.436066462580136</v>
      </c>
      <c r="I94" s="34">
        <f>SUM(I91:I93)</f>
        <v>94.359295687204451</v>
      </c>
      <c r="J94" s="34">
        <f>SUM(J91:J93)</f>
        <v>2.6816680222793789</v>
      </c>
    </row>
    <row r="95" spans="1:10" ht="15" thickBot="1" x14ac:dyDescent="0.35">
      <c r="A95" s="34" t="s">
        <v>101</v>
      </c>
      <c r="B95" s="36">
        <f>B94/C19</f>
        <v>0.18512395393743217</v>
      </c>
      <c r="C95" s="36">
        <f>C94/E19</f>
        <v>0.19058915510572835</v>
      </c>
      <c r="D95" s="36">
        <f>D94/G19</f>
        <v>0.25987774017657084</v>
      </c>
      <c r="E95" s="37">
        <f>B95*SQRT((H95/B94)^2+(H45/C19)^2)</f>
        <v>2.1910153257750999E-2</v>
      </c>
      <c r="F95" s="38">
        <f>C95*SQRT((I95/C94)^2+(I45/E19)^2)</f>
        <v>3.3452041894047185E-2</v>
      </c>
      <c r="G95" s="39">
        <f>D95*SQRT((J95/D94)^2+(J45/G19)^2)</f>
        <v>1.0376328639237148E-2</v>
      </c>
      <c r="H95" s="34">
        <f>SQRT(H94)</f>
        <v>4.4086354422406187</v>
      </c>
      <c r="I95" s="34">
        <f>SQRT(I94)</f>
        <v>9.7138713027919223</v>
      </c>
      <c r="J95" s="34">
        <f>SQRT(J94)</f>
        <v>1.6375799285162782</v>
      </c>
    </row>
    <row r="97" spans="1:10" x14ac:dyDescent="0.3">
      <c r="A97" s="40" t="s">
        <v>100</v>
      </c>
      <c r="B97" s="40"/>
      <c r="C97" s="40"/>
      <c r="D97" s="40"/>
      <c r="E97" s="40" t="s">
        <v>95</v>
      </c>
      <c r="F97" s="40" t="s">
        <v>96</v>
      </c>
      <c r="G97" s="40" t="s">
        <v>97</v>
      </c>
      <c r="H97" s="40" t="s">
        <v>104</v>
      </c>
      <c r="I97" s="40" t="s">
        <v>105</v>
      </c>
      <c r="J97" s="40" t="s">
        <v>106</v>
      </c>
    </row>
    <row r="98" spans="1:10" x14ac:dyDescent="0.3">
      <c r="A98" s="40" t="s">
        <v>0</v>
      </c>
      <c r="B98" s="40">
        <f t="shared" ref="B98:G98" si="12">B82</f>
        <v>9.7805327616930064</v>
      </c>
      <c r="C98" s="40">
        <f t="shared" si="12"/>
        <v>15.752238678055898</v>
      </c>
      <c r="D98" s="40">
        <f t="shared" si="12"/>
        <v>12.038110979194354</v>
      </c>
      <c r="E98" s="40">
        <f t="shared" si="12"/>
        <v>0.79463130606543475</v>
      </c>
      <c r="F98" s="40">
        <f t="shared" si="12"/>
        <v>2.5891920652142133</v>
      </c>
      <c r="G98" s="40">
        <f t="shared" si="12"/>
        <v>0.41273390115877356</v>
      </c>
      <c r="H98" s="40">
        <f t="shared" ref="H98:J99" si="13">E98^2</f>
        <v>0.63143891257925866</v>
      </c>
      <c r="I98" s="40">
        <f t="shared" si="13"/>
        <v>6.7039155505682428</v>
      </c>
      <c r="J98" s="40">
        <f t="shared" si="13"/>
        <v>0.17034927316574028</v>
      </c>
    </row>
    <row r="99" spans="1:10" x14ac:dyDescent="0.3">
      <c r="A99" s="40" t="s">
        <v>103</v>
      </c>
      <c r="B99" s="40">
        <f>C8</f>
        <v>4.2016394537493911</v>
      </c>
      <c r="C99" s="40">
        <f>E8</f>
        <v>13.04947702255493</v>
      </c>
      <c r="D99" s="40">
        <f>D77</f>
        <v>2.6490924528912534</v>
      </c>
      <c r="E99" s="40">
        <f>E58</f>
        <v>9.7391204374252596E-2</v>
      </c>
      <c r="F99" s="40">
        <f>F58</f>
        <v>0.21645155966845903</v>
      </c>
      <c r="G99" s="40">
        <f>G58</f>
        <v>0.10770643247513224</v>
      </c>
      <c r="H99" s="40">
        <f t="shared" si="13"/>
        <v>9.4850466894674385E-3</v>
      </c>
      <c r="I99" s="40">
        <f t="shared" si="13"/>
        <v>4.6851277682908476E-2</v>
      </c>
      <c r="J99" s="40">
        <f t="shared" si="13"/>
        <v>1.1600675596520222E-2</v>
      </c>
    </row>
    <row r="100" spans="1:10" x14ac:dyDescent="0.3">
      <c r="A100" s="40" t="s">
        <v>98</v>
      </c>
      <c r="B100" s="40">
        <f>SUM(B98:B99)</f>
        <v>13.982172215442397</v>
      </c>
      <c r="C100" s="40">
        <f>SUM(C98:C99)</f>
        <v>28.801715700610828</v>
      </c>
      <c r="D100" s="40">
        <f>SUM(D98:D99)</f>
        <v>14.687203432085607</v>
      </c>
      <c r="E100" s="40"/>
      <c r="F100" s="40"/>
      <c r="G100" s="40"/>
      <c r="H100" s="40">
        <f>SUM(H98:H99)</f>
        <v>0.64092395926872614</v>
      </c>
      <c r="I100" s="40">
        <f>SUM(I98:I99)</f>
        <v>6.7507668282511517</v>
      </c>
      <c r="J100" s="40">
        <f>SUM(J98:J99)</f>
        <v>0.1819499487622605</v>
      </c>
    </row>
    <row r="101" spans="1:10" ht="15" thickBot="1" x14ac:dyDescent="0.35">
      <c r="A101" s="40" t="s">
        <v>101</v>
      </c>
      <c r="B101" s="43">
        <f>B100/C19</f>
        <v>6.882490362299927E-2</v>
      </c>
      <c r="C101" s="43">
        <f>C100/E19</f>
        <v>9.3926713642943277E-2</v>
      </c>
      <c r="D101" s="43">
        <f>D100/G19</f>
        <v>9.1575008379440742E-2</v>
      </c>
      <c r="E101" s="41">
        <f>SQRT(H100)</f>
        <v>0.80057726627023706</v>
      </c>
      <c r="F101" s="42">
        <f>SQRT(I100)</f>
        <v>2.598223783327978</v>
      </c>
      <c r="G101" s="42">
        <f>SQRT(J100)</f>
        <v>0.42655591516501151</v>
      </c>
      <c r="H101" s="40"/>
      <c r="I101" s="40"/>
      <c r="J101" s="40"/>
    </row>
    <row r="102" spans="1:10" ht="15" thickBot="1" x14ac:dyDescent="0.35">
      <c r="A102" s="40" t="s">
        <v>126</v>
      </c>
      <c r="E102" s="27">
        <f>B101*SQRT((E101/B100)^2+(H45/C19)^2)</f>
        <v>4.0977190921477327E-3</v>
      </c>
      <c r="F102" s="28">
        <f>C101*SQRT((F101/C100)^2+(I45/E19)^2)</f>
        <v>9.9925776143039591E-3</v>
      </c>
      <c r="G102" s="26">
        <f>D101*SQRT((G101/D100)^2+(J45/G19)^2)</f>
        <v>2.7381906957686364E-3</v>
      </c>
    </row>
    <row r="103" spans="1:10" ht="15" thickBot="1" x14ac:dyDescent="0.35"/>
    <row r="104" spans="1:10" ht="15" thickBot="1" x14ac:dyDescent="0.35">
      <c r="A104" t="s">
        <v>102</v>
      </c>
      <c r="B104">
        <f>B94/B100</f>
        <v>2.6897815208210352</v>
      </c>
      <c r="C104">
        <f>C94/C100</f>
        <v>2.0291261954532072</v>
      </c>
      <c r="D104">
        <f>D94/D100</f>
        <v>2.8378675009208654</v>
      </c>
      <c r="E104" s="27">
        <f>B104*SQRT((E102/B100)^2+(E95/B94)^2)</f>
        <v>1.7541111537082666E-3</v>
      </c>
      <c r="F104" s="28">
        <f>C104*SQRT((F102/C100)^2+(F95/C94)^2)</f>
        <v>1.3581587956410198E-3</v>
      </c>
      <c r="G104" s="29">
        <f>D104*SQRT((G102/D100)^2+(G95/D94)^2)</f>
        <v>8.8263499166744725E-4</v>
      </c>
    </row>
    <row r="119" spans="1:2" x14ac:dyDescent="0.3">
      <c r="A119" t="s">
        <v>117</v>
      </c>
    </row>
    <row r="120" spans="1:2" x14ac:dyDescent="0.3">
      <c r="B120">
        <f>6.25 * 2.32</f>
        <v>14.499999999999998</v>
      </c>
    </row>
    <row r="121" spans="1:2" x14ac:dyDescent="0.3">
      <c r="A121" s="21"/>
      <c r="B121">
        <f>0.1*C19/B120</f>
        <v>1.4010738675030863</v>
      </c>
    </row>
  </sheetData>
  <mergeCells count="2">
    <mergeCell ref="H22:M23"/>
    <mergeCell ref="B22:G23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NPCF</vt:lpstr>
      <vt:lpstr>BALANCE amino acids g scg AR</vt:lpstr>
      <vt:lpstr>BALANCE amino acids g scg A DB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Massaya</dc:creator>
  <cp:lastModifiedBy>Jackie Massaya</cp:lastModifiedBy>
  <dcterms:created xsi:type="dcterms:W3CDTF">2019-10-21T16:20:05Z</dcterms:created>
  <dcterms:modified xsi:type="dcterms:W3CDTF">2021-01-12T12:23:55Z</dcterms:modified>
</cp:coreProperties>
</file>