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X:\Chem Eng\ResearchProjects\CChuck\EG-CE1152 - Jackie Massaya\Experiments\SCG biorefinery paper\"/>
    </mc:Choice>
  </mc:AlternateContent>
  <xr:revisionPtr revIDLastSave="0" documentId="13_ncr:1_{EC8C49C2-7110-42A4-8923-D3BB7601D94E}" xr6:coauthVersionLast="45" xr6:coauthVersionMax="45" xr10:uidLastSave="{00000000-0000-0000-0000-000000000000}"/>
  <bookViews>
    <workbookView xWindow="-98" yWindow="-98" windowWidth="25396" windowHeight="13771" tabRatio="595" activeTab="5" xr2:uid="{00000000-000D-0000-FFFF-FFFF00000000}"/>
  </bookViews>
  <sheets>
    <sheet name="PE ultimate" sheetId="4" r:id="rId1"/>
    <sheet name="SWE_178 ultimate" sheetId="5" r:id="rId2"/>
    <sheet name="HTC223 ultimate" sheetId="10" r:id="rId3"/>
    <sheet name="HTC223 proximate" sheetId="15" r:id="rId4"/>
    <sheet name="HHV, EY" sheetId="11" r:id="rId5"/>
    <sheet name="Tables for Graphs" sheetId="12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9" i="4" l="1"/>
  <c r="G30" i="4"/>
  <c r="G31" i="4"/>
  <c r="G28" i="4"/>
  <c r="G160" i="5"/>
  <c r="G161" i="5"/>
  <c r="G162" i="5"/>
  <c r="G163" i="5"/>
  <c r="G164" i="5"/>
  <c r="G165" i="5"/>
  <c r="G166" i="5"/>
  <c r="G167" i="5"/>
  <c r="G168" i="5"/>
  <c r="G169" i="5"/>
  <c r="G170" i="5"/>
  <c r="G171" i="5"/>
  <c r="G172" i="5"/>
  <c r="G173" i="5"/>
  <c r="G174" i="5"/>
  <c r="G175" i="5"/>
  <c r="G176" i="5"/>
  <c r="G177" i="5"/>
  <c r="G178" i="5"/>
  <c r="G179" i="5"/>
  <c r="G180" i="5"/>
  <c r="G181" i="5"/>
  <c r="G182" i="5"/>
  <c r="G183" i="5"/>
  <c r="G184" i="5"/>
  <c r="G185" i="5"/>
  <c r="G186" i="5"/>
  <c r="G187" i="5"/>
  <c r="G188" i="5"/>
  <c r="G189" i="5"/>
  <c r="G190" i="5"/>
  <c r="G191" i="5"/>
  <c r="G192" i="5"/>
  <c r="G193" i="5"/>
  <c r="G194" i="5"/>
  <c r="G195" i="5"/>
  <c r="G196" i="5"/>
  <c r="G197" i="5"/>
  <c r="G198" i="5"/>
  <c r="G199" i="5"/>
  <c r="G200" i="5"/>
  <c r="G201" i="5"/>
  <c r="G202" i="5"/>
  <c r="G203" i="5"/>
  <c r="G204" i="5"/>
  <c r="G205" i="5"/>
  <c r="G206" i="5"/>
  <c r="G207" i="5"/>
  <c r="G208" i="5"/>
  <c r="G209" i="5"/>
  <c r="G210" i="5"/>
  <c r="G211" i="5"/>
  <c r="G212" i="5"/>
  <c r="G213" i="5"/>
  <c r="G214" i="5"/>
  <c r="G215" i="5"/>
  <c r="G216" i="5"/>
  <c r="G217" i="5"/>
  <c r="G218" i="5"/>
  <c r="G219" i="5"/>
  <c r="G220" i="5"/>
  <c r="G221" i="5"/>
  <c r="G222" i="5"/>
  <c r="G223" i="5"/>
  <c r="G224" i="5"/>
  <c r="G225" i="5"/>
  <c r="G226" i="5"/>
  <c r="G227" i="5"/>
  <c r="G228" i="5"/>
  <c r="G229" i="5"/>
  <c r="G230" i="5"/>
  <c r="B31" i="11" l="1"/>
  <c r="B32" i="11"/>
  <c r="K32" i="10"/>
  <c r="P32" i="10"/>
  <c r="K31" i="10"/>
  <c r="P31" i="10"/>
  <c r="G36" i="11"/>
  <c r="G35" i="11"/>
  <c r="G34" i="11"/>
  <c r="C24" i="4"/>
  <c r="D24" i="4"/>
  <c r="E24" i="4"/>
  <c r="F24" i="4"/>
  <c r="G24" i="4"/>
  <c r="H24" i="4"/>
  <c r="C23" i="4"/>
  <c r="D23" i="4"/>
  <c r="E23" i="4"/>
  <c r="F23" i="4"/>
  <c r="G23" i="4"/>
  <c r="H23" i="4"/>
  <c r="C22" i="4"/>
  <c r="D22" i="4"/>
  <c r="E22" i="4"/>
  <c r="F22" i="4"/>
  <c r="G22" i="4"/>
  <c r="H22" i="4"/>
  <c r="E24" i="12"/>
  <c r="A93" i="11"/>
  <c r="B92" i="11"/>
  <c r="A92" i="11"/>
  <c r="B91" i="11"/>
  <c r="A91" i="11"/>
  <c r="B90" i="11"/>
  <c r="A90" i="11"/>
  <c r="G33" i="11"/>
  <c r="F33" i="11"/>
  <c r="E33" i="11"/>
  <c r="D33" i="11"/>
  <c r="C33" i="11"/>
  <c r="G32" i="11"/>
  <c r="F32" i="11"/>
  <c r="E32" i="11"/>
  <c r="D32" i="11"/>
  <c r="C32" i="11"/>
  <c r="G31" i="11"/>
  <c r="F31" i="11"/>
  <c r="E31" i="11"/>
  <c r="D31" i="11"/>
  <c r="C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F6" i="11"/>
  <c r="G5" i="11"/>
  <c r="F5" i="11"/>
  <c r="N5" i="15"/>
  <c r="G23" i="15" s="1"/>
  <c r="N23" i="15" s="1"/>
  <c r="J4" i="15"/>
  <c r="E22" i="15" s="1"/>
  <c r="L22" i="15" s="1"/>
  <c r="I2" i="15"/>
  <c r="D20" i="15" s="1"/>
  <c r="B2" i="15"/>
  <c r="K78" i="10"/>
  <c r="A60" i="10"/>
  <c r="A59" i="10"/>
  <c r="A58" i="10"/>
  <c r="A57" i="10"/>
  <c r="A56" i="10"/>
  <c r="A55" i="10"/>
  <c r="A54" i="10"/>
  <c r="A53" i="10"/>
  <c r="A52" i="10"/>
  <c r="A51" i="10"/>
  <c r="A50" i="10"/>
  <c r="A49" i="10"/>
  <c r="A48" i="10"/>
  <c r="A47" i="10"/>
  <c r="A46" i="10"/>
  <c r="A45" i="10"/>
  <c r="A44" i="10"/>
  <c r="A43" i="10"/>
  <c r="A42" i="10"/>
  <c r="A41" i="10"/>
  <c r="A40" i="10"/>
  <c r="A39" i="10"/>
  <c r="A38" i="10"/>
  <c r="A37" i="10"/>
  <c r="A36" i="10"/>
  <c r="O30" i="10"/>
  <c r="P30" i="10" s="1"/>
  <c r="N30" i="10"/>
  <c r="J30" i="10"/>
  <c r="K30" i="10" s="1"/>
  <c r="I30" i="10"/>
  <c r="F30" i="10"/>
  <c r="E30" i="10"/>
  <c r="B33" i="11" s="1"/>
  <c r="P29" i="10"/>
  <c r="K29" i="10"/>
  <c r="P28" i="10"/>
  <c r="K28" i="10"/>
  <c r="P27" i="10"/>
  <c r="K27" i="10"/>
  <c r="O26" i="10"/>
  <c r="P26" i="10" s="1"/>
  <c r="N26" i="10"/>
  <c r="J26" i="10"/>
  <c r="K26" i="10" s="1"/>
  <c r="I26" i="10"/>
  <c r="D12" i="11" s="1"/>
  <c r="F26" i="10"/>
  <c r="E26" i="10"/>
  <c r="B12" i="11" s="1"/>
  <c r="O25" i="10"/>
  <c r="P25" i="10" s="1"/>
  <c r="N25" i="10"/>
  <c r="J25" i="10"/>
  <c r="K25" i="10" s="1"/>
  <c r="I25" i="10"/>
  <c r="F25" i="10"/>
  <c r="E25" i="10"/>
  <c r="B11" i="11" s="1"/>
  <c r="O24" i="10"/>
  <c r="P24" i="10" s="1"/>
  <c r="N24" i="10"/>
  <c r="D58" i="10" s="1"/>
  <c r="J24" i="10"/>
  <c r="K24" i="10" s="1"/>
  <c r="I24" i="10"/>
  <c r="F24" i="10"/>
  <c r="E24" i="10"/>
  <c r="B10" i="11" s="1"/>
  <c r="O23" i="10"/>
  <c r="P23" i="10" s="1"/>
  <c r="N23" i="10"/>
  <c r="J23" i="10"/>
  <c r="K23" i="10" s="1"/>
  <c r="I23" i="10"/>
  <c r="F23" i="10"/>
  <c r="E23" i="10"/>
  <c r="B9" i="11" s="1"/>
  <c r="O22" i="10"/>
  <c r="P22" i="10" s="1"/>
  <c r="N22" i="10"/>
  <c r="J22" i="10"/>
  <c r="K22" i="10" s="1"/>
  <c r="I22" i="10"/>
  <c r="F22" i="10"/>
  <c r="E22" i="10"/>
  <c r="B8" i="11" s="1"/>
  <c r="O21" i="10"/>
  <c r="P21" i="10" s="1"/>
  <c r="N21" i="10"/>
  <c r="J21" i="10"/>
  <c r="K21" i="10" s="1"/>
  <c r="I21" i="10"/>
  <c r="D7" i="11" s="1"/>
  <c r="F21" i="10"/>
  <c r="E21" i="10"/>
  <c r="B7" i="11" s="1"/>
  <c r="O20" i="10"/>
  <c r="P20" i="10" s="1"/>
  <c r="N20" i="10"/>
  <c r="F24" i="11" s="1"/>
  <c r="J20" i="10"/>
  <c r="K20" i="10" s="1"/>
  <c r="I20" i="10"/>
  <c r="F20" i="10"/>
  <c r="E20" i="10"/>
  <c r="B24" i="11" s="1"/>
  <c r="O19" i="10"/>
  <c r="P19" i="10" s="1"/>
  <c r="N19" i="10"/>
  <c r="J19" i="10"/>
  <c r="K19" i="10" s="1"/>
  <c r="I19" i="10"/>
  <c r="D23" i="11" s="1"/>
  <c r="F19" i="10"/>
  <c r="E19" i="10"/>
  <c r="B23" i="11" s="1"/>
  <c r="O18" i="10"/>
  <c r="P18" i="10" s="1"/>
  <c r="N18" i="10"/>
  <c r="J18" i="10"/>
  <c r="K18" i="10" s="1"/>
  <c r="I18" i="10"/>
  <c r="D22" i="11" s="1"/>
  <c r="F18" i="10"/>
  <c r="E18" i="10"/>
  <c r="B22" i="11" s="1"/>
  <c r="O17" i="10"/>
  <c r="P17" i="10" s="1"/>
  <c r="N17" i="10"/>
  <c r="J17" i="10"/>
  <c r="K17" i="10" s="1"/>
  <c r="I17" i="10"/>
  <c r="D21" i="11" s="1"/>
  <c r="F17" i="10"/>
  <c r="E17" i="10"/>
  <c r="Q17" i="10" s="1"/>
  <c r="O16" i="10"/>
  <c r="P16" i="10" s="1"/>
  <c r="N16" i="10"/>
  <c r="J16" i="10"/>
  <c r="K16" i="10" s="1"/>
  <c r="I16" i="10"/>
  <c r="F16" i="10"/>
  <c r="E16" i="10"/>
  <c r="O15" i="10"/>
  <c r="P15" i="10" s="1"/>
  <c r="N15" i="10"/>
  <c r="J15" i="10"/>
  <c r="K15" i="10" s="1"/>
  <c r="I15" i="10"/>
  <c r="F15" i="10"/>
  <c r="E15" i="10"/>
  <c r="C19" i="11" s="1"/>
  <c r="O14" i="10"/>
  <c r="P14" i="10" s="1"/>
  <c r="N14" i="10"/>
  <c r="J14" i="10"/>
  <c r="K14" i="10" s="1"/>
  <c r="I14" i="10"/>
  <c r="S14" i="10" s="1"/>
  <c r="F48" i="10" s="1"/>
  <c r="F14" i="10"/>
  <c r="E14" i="10"/>
  <c r="O13" i="10"/>
  <c r="P13" i="10" s="1"/>
  <c r="N13" i="10"/>
  <c r="F29" i="11" s="1"/>
  <c r="J13" i="10"/>
  <c r="K13" i="10" s="1"/>
  <c r="I13" i="10"/>
  <c r="F13" i="10"/>
  <c r="E13" i="10"/>
  <c r="B29" i="11" s="1"/>
  <c r="O12" i="10"/>
  <c r="P12" i="10" s="1"/>
  <c r="N12" i="10"/>
  <c r="F28" i="11" s="1"/>
  <c r="J12" i="10"/>
  <c r="K12" i="10" s="1"/>
  <c r="I12" i="10"/>
  <c r="F12" i="10"/>
  <c r="E12" i="10"/>
  <c r="B28" i="11" s="1"/>
  <c r="O11" i="10"/>
  <c r="P11" i="10" s="1"/>
  <c r="N11" i="10"/>
  <c r="J11" i="10"/>
  <c r="K11" i="10" s="1"/>
  <c r="I11" i="10"/>
  <c r="D27" i="11" s="1"/>
  <c r="F11" i="10"/>
  <c r="E11" i="10"/>
  <c r="B27" i="11" s="1"/>
  <c r="O10" i="10"/>
  <c r="P10" i="10" s="1"/>
  <c r="N10" i="10"/>
  <c r="J10" i="10"/>
  <c r="K10" i="10" s="1"/>
  <c r="I10" i="10"/>
  <c r="D26" i="11" s="1"/>
  <c r="F10" i="10"/>
  <c r="E10" i="10"/>
  <c r="B26" i="11" s="1"/>
  <c r="O9" i="10"/>
  <c r="P9" i="10" s="1"/>
  <c r="N9" i="10"/>
  <c r="I9" i="10"/>
  <c r="S9" i="10" s="1"/>
  <c r="F43" i="10" s="1"/>
  <c r="F9" i="10"/>
  <c r="E9" i="10"/>
  <c r="B25" i="11" s="1"/>
  <c r="O8" i="10"/>
  <c r="P8" i="10" s="1"/>
  <c r="N8" i="10"/>
  <c r="F18" i="11" s="1"/>
  <c r="J8" i="10"/>
  <c r="K8" i="10" s="1"/>
  <c r="I8" i="10"/>
  <c r="F8" i="10"/>
  <c r="E8" i="10"/>
  <c r="B18" i="11" s="1"/>
  <c r="O7" i="10"/>
  <c r="P7" i="10" s="1"/>
  <c r="N7" i="10"/>
  <c r="J7" i="10"/>
  <c r="K7" i="10" s="1"/>
  <c r="I7" i="10"/>
  <c r="F7" i="10"/>
  <c r="E7" i="10"/>
  <c r="B17" i="11" s="1"/>
  <c r="O6" i="10"/>
  <c r="P6" i="10" s="1"/>
  <c r="N6" i="10"/>
  <c r="F16" i="11" s="1"/>
  <c r="J6" i="10"/>
  <c r="K6" i="10" s="1"/>
  <c r="I6" i="10"/>
  <c r="F6" i="10"/>
  <c r="E6" i="10"/>
  <c r="B16" i="11" s="1"/>
  <c r="O5" i="10"/>
  <c r="P5" i="10" s="1"/>
  <c r="N5" i="10"/>
  <c r="D39" i="10" s="1"/>
  <c r="J5" i="10"/>
  <c r="K5" i="10" s="1"/>
  <c r="I5" i="10"/>
  <c r="D15" i="11" s="1"/>
  <c r="F5" i="10"/>
  <c r="E5" i="10"/>
  <c r="B15" i="11" s="1"/>
  <c r="O4" i="10"/>
  <c r="P4" i="10" s="1"/>
  <c r="N4" i="10"/>
  <c r="F14" i="11" s="1"/>
  <c r="J4" i="10"/>
  <c r="K4" i="10" s="1"/>
  <c r="I4" i="10"/>
  <c r="F4" i="10"/>
  <c r="E4" i="10"/>
  <c r="B14" i="11" s="1"/>
  <c r="O3" i="10"/>
  <c r="P3" i="10" s="1"/>
  <c r="N3" i="10"/>
  <c r="F13" i="11" s="1"/>
  <c r="J3" i="10"/>
  <c r="K3" i="10" s="1"/>
  <c r="I3" i="10"/>
  <c r="D13" i="11" s="1"/>
  <c r="F3" i="10"/>
  <c r="E3" i="10"/>
  <c r="B13" i="11" s="1"/>
  <c r="H2" i="10"/>
  <c r="D6" i="11" s="1"/>
  <c r="G2" i="10"/>
  <c r="D5" i="11" s="1"/>
  <c r="D2" i="10"/>
  <c r="B6" i="11" s="1"/>
  <c r="C2" i="10"/>
  <c r="C5" i="11" s="1"/>
  <c r="B2" i="10"/>
  <c r="F151" i="5"/>
  <c r="A151" i="5"/>
  <c r="A230" i="5" s="1"/>
  <c r="F150" i="5"/>
  <c r="A150" i="5"/>
  <c r="A229" i="5" s="1"/>
  <c r="F149" i="5"/>
  <c r="A149" i="5"/>
  <c r="A228" i="5" s="1"/>
  <c r="F148" i="5"/>
  <c r="A148" i="5"/>
  <c r="A227" i="5" s="1"/>
  <c r="F147" i="5"/>
  <c r="A147" i="5"/>
  <c r="A226" i="5" s="1"/>
  <c r="F146" i="5"/>
  <c r="A146" i="5"/>
  <c r="A225" i="5" s="1"/>
  <c r="F145" i="5"/>
  <c r="A145" i="5"/>
  <c r="A224" i="5" s="1"/>
  <c r="F144" i="5"/>
  <c r="A144" i="5"/>
  <c r="A223" i="5" s="1"/>
  <c r="F143" i="5"/>
  <c r="A143" i="5"/>
  <c r="A222" i="5" s="1"/>
  <c r="F142" i="5"/>
  <c r="A142" i="5"/>
  <c r="A221" i="5" s="1"/>
  <c r="F141" i="5"/>
  <c r="A141" i="5"/>
  <c r="A220" i="5" s="1"/>
  <c r="F140" i="5"/>
  <c r="A140" i="5"/>
  <c r="A219" i="5" s="1"/>
  <c r="F139" i="5"/>
  <c r="A139" i="5"/>
  <c r="A218" i="5" s="1"/>
  <c r="F138" i="5"/>
  <c r="A138" i="5"/>
  <c r="A217" i="5" s="1"/>
  <c r="F137" i="5"/>
  <c r="A137" i="5"/>
  <c r="A216" i="5" s="1"/>
  <c r="F136" i="5"/>
  <c r="A136" i="5"/>
  <c r="A215" i="5" s="1"/>
  <c r="F135" i="5"/>
  <c r="A135" i="5"/>
  <c r="A214" i="5" s="1"/>
  <c r="F134" i="5"/>
  <c r="A134" i="5"/>
  <c r="A213" i="5" s="1"/>
  <c r="F133" i="5"/>
  <c r="A133" i="5"/>
  <c r="A212" i="5" s="1"/>
  <c r="F132" i="5"/>
  <c r="A132" i="5"/>
  <c r="A211" i="5" s="1"/>
  <c r="F131" i="5"/>
  <c r="A131" i="5"/>
  <c r="A210" i="5" s="1"/>
  <c r="F130" i="5"/>
  <c r="A130" i="5"/>
  <c r="A209" i="5" s="1"/>
  <c r="F129" i="5"/>
  <c r="A129" i="5"/>
  <c r="A208" i="5" s="1"/>
  <c r="F128" i="5"/>
  <c r="A128" i="5"/>
  <c r="A207" i="5" s="1"/>
  <c r="F127" i="5"/>
  <c r="A127" i="5"/>
  <c r="A206" i="5" s="1"/>
  <c r="F126" i="5"/>
  <c r="A126" i="5"/>
  <c r="A205" i="5" s="1"/>
  <c r="F125" i="5"/>
  <c r="A125" i="5"/>
  <c r="A204" i="5" s="1"/>
  <c r="F124" i="5"/>
  <c r="A124" i="5"/>
  <c r="A203" i="5" s="1"/>
  <c r="F123" i="5"/>
  <c r="A123" i="5"/>
  <c r="A202" i="5" s="1"/>
  <c r="F122" i="5"/>
  <c r="A122" i="5"/>
  <c r="A201" i="5" s="1"/>
  <c r="F121" i="5"/>
  <c r="A121" i="5"/>
  <c r="A200" i="5" s="1"/>
  <c r="F120" i="5"/>
  <c r="A120" i="5"/>
  <c r="A199" i="5" s="1"/>
  <c r="F119" i="5"/>
  <c r="A119" i="5"/>
  <c r="A198" i="5" s="1"/>
  <c r="F118" i="5"/>
  <c r="A118" i="5"/>
  <c r="A197" i="5" s="1"/>
  <c r="F117" i="5"/>
  <c r="A117" i="5"/>
  <c r="A196" i="5" s="1"/>
  <c r="F116" i="5"/>
  <c r="A116" i="5"/>
  <c r="A195" i="5" s="1"/>
  <c r="F115" i="5"/>
  <c r="A115" i="5"/>
  <c r="A194" i="5" s="1"/>
  <c r="F114" i="5"/>
  <c r="A114" i="5"/>
  <c r="A193" i="5" s="1"/>
  <c r="F113" i="5"/>
  <c r="A113" i="5"/>
  <c r="A192" i="5" s="1"/>
  <c r="F112" i="5"/>
  <c r="A112" i="5"/>
  <c r="A191" i="5" s="1"/>
  <c r="F111" i="5"/>
  <c r="A111" i="5"/>
  <c r="A190" i="5" s="1"/>
  <c r="F110" i="5"/>
  <c r="A110" i="5"/>
  <c r="A189" i="5" s="1"/>
  <c r="F109" i="5"/>
  <c r="A109" i="5"/>
  <c r="A188" i="5" s="1"/>
  <c r="F108" i="5"/>
  <c r="A108" i="5"/>
  <c r="A187" i="5" s="1"/>
  <c r="F107" i="5"/>
  <c r="A107" i="5"/>
  <c r="A186" i="5" s="1"/>
  <c r="F106" i="5"/>
  <c r="A106" i="5"/>
  <c r="A185" i="5" s="1"/>
  <c r="F105" i="5"/>
  <c r="A105" i="5"/>
  <c r="A184" i="5" s="1"/>
  <c r="F104" i="5"/>
  <c r="A104" i="5"/>
  <c r="A183" i="5" s="1"/>
  <c r="F103" i="5"/>
  <c r="A103" i="5"/>
  <c r="A182" i="5" s="1"/>
  <c r="F102" i="5"/>
  <c r="A102" i="5"/>
  <c r="A181" i="5" s="1"/>
  <c r="F101" i="5"/>
  <c r="A101" i="5"/>
  <c r="A180" i="5" s="1"/>
  <c r="F100" i="5"/>
  <c r="A100" i="5"/>
  <c r="A179" i="5" s="1"/>
  <c r="F99" i="5"/>
  <c r="A99" i="5"/>
  <c r="A178" i="5" s="1"/>
  <c r="F98" i="5"/>
  <c r="A98" i="5"/>
  <c r="A177" i="5" s="1"/>
  <c r="F97" i="5"/>
  <c r="A97" i="5"/>
  <c r="A176" i="5" s="1"/>
  <c r="F96" i="5"/>
  <c r="A96" i="5"/>
  <c r="A175" i="5" s="1"/>
  <c r="F95" i="5"/>
  <c r="A95" i="5"/>
  <c r="A174" i="5" s="1"/>
  <c r="F94" i="5"/>
  <c r="A94" i="5"/>
  <c r="A173" i="5" s="1"/>
  <c r="F93" i="5"/>
  <c r="A93" i="5"/>
  <c r="A172" i="5" s="1"/>
  <c r="F92" i="5"/>
  <c r="A92" i="5"/>
  <c r="A171" i="5" s="1"/>
  <c r="F91" i="5"/>
  <c r="A91" i="5"/>
  <c r="A170" i="5" s="1"/>
  <c r="F90" i="5"/>
  <c r="A90" i="5"/>
  <c r="A169" i="5" s="1"/>
  <c r="F89" i="5"/>
  <c r="A89" i="5"/>
  <c r="A168" i="5" s="1"/>
  <c r="F88" i="5"/>
  <c r="A88" i="5"/>
  <c r="A167" i="5" s="1"/>
  <c r="F87" i="5"/>
  <c r="A87" i="5"/>
  <c r="A166" i="5" s="1"/>
  <c r="F86" i="5"/>
  <c r="A86" i="5"/>
  <c r="A165" i="5" s="1"/>
  <c r="F85" i="5"/>
  <c r="A85" i="5"/>
  <c r="A164" i="5" s="1"/>
  <c r="F84" i="5"/>
  <c r="A84" i="5"/>
  <c r="A163" i="5" s="1"/>
  <c r="F83" i="5"/>
  <c r="A83" i="5"/>
  <c r="A162" i="5" s="1"/>
  <c r="F82" i="5"/>
  <c r="A82" i="5"/>
  <c r="A161" i="5" s="1"/>
  <c r="F81" i="5"/>
  <c r="A81" i="5"/>
  <c r="A160" i="5" s="1"/>
  <c r="L76" i="5"/>
  <c r="K76" i="5"/>
  <c r="H76" i="5"/>
  <c r="G76" i="5"/>
  <c r="D76" i="5"/>
  <c r="C76" i="5"/>
  <c r="M75" i="5"/>
  <c r="D151" i="5" s="1"/>
  <c r="I75" i="5"/>
  <c r="C151" i="5" s="1"/>
  <c r="E75" i="5"/>
  <c r="B151" i="5" s="1"/>
  <c r="M74" i="5"/>
  <c r="D150" i="5" s="1"/>
  <c r="I74" i="5"/>
  <c r="C150" i="5" s="1"/>
  <c r="E74" i="5"/>
  <c r="B150" i="5" s="1"/>
  <c r="M73" i="5"/>
  <c r="D149" i="5" s="1"/>
  <c r="I73" i="5"/>
  <c r="C149" i="5" s="1"/>
  <c r="E73" i="5"/>
  <c r="B149" i="5" s="1"/>
  <c r="M72" i="5"/>
  <c r="D148" i="5" s="1"/>
  <c r="I72" i="5"/>
  <c r="C148" i="5" s="1"/>
  <c r="E72" i="5"/>
  <c r="B148" i="5" s="1"/>
  <c r="M71" i="5"/>
  <c r="I71" i="5"/>
  <c r="C147" i="5" s="1"/>
  <c r="E71" i="5"/>
  <c r="B147" i="5" s="1"/>
  <c r="M70" i="5"/>
  <c r="D146" i="5" s="1"/>
  <c r="I70" i="5"/>
  <c r="C146" i="5" s="1"/>
  <c r="E70" i="5"/>
  <c r="B146" i="5" s="1"/>
  <c r="M69" i="5"/>
  <c r="D145" i="5" s="1"/>
  <c r="I69" i="5"/>
  <c r="E69" i="5"/>
  <c r="B145" i="5" s="1"/>
  <c r="M68" i="5"/>
  <c r="D144" i="5" s="1"/>
  <c r="I68" i="5"/>
  <c r="E68" i="5"/>
  <c r="B144" i="5" s="1"/>
  <c r="M67" i="5"/>
  <c r="D143" i="5" s="1"/>
  <c r="I67" i="5"/>
  <c r="C143" i="5" s="1"/>
  <c r="E67" i="5"/>
  <c r="M66" i="5"/>
  <c r="D142" i="5" s="1"/>
  <c r="I66" i="5"/>
  <c r="C142" i="5" s="1"/>
  <c r="E66" i="5"/>
  <c r="B142" i="5" s="1"/>
  <c r="M65" i="5"/>
  <c r="D141" i="5" s="1"/>
  <c r="I65" i="5"/>
  <c r="C141" i="5" s="1"/>
  <c r="E65" i="5"/>
  <c r="B141" i="5" s="1"/>
  <c r="M64" i="5"/>
  <c r="D140" i="5" s="1"/>
  <c r="I64" i="5"/>
  <c r="C140" i="5" s="1"/>
  <c r="E64" i="5"/>
  <c r="B140" i="5" s="1"/>
  <c r="M63" i="5"/>
  <c r="D139" i="5" s="1"/>
  <c r="I63" i="5"/>
  <c r="C139" i="5" s="1"/>
  <c r="E63" i="5"/>
  <c r="B139" i="5" s="1"/>
  <c r="M62" i="5"/>
  <c r="D138" i="5" s="1"/>
  <c r="I62" i="5"/>
  <c r="C138" i="5" s="1"/>
  <c r="E62" i="5"/>
  <c r="B138" i="5" s="1"/>
  <c r="M61" i="5"/>
  <c r="D137" i="5" s="1"/>
  <c r="I61" i="5"/>
  <c r="C137" i="5" s="1"/>
  <c r="E61" i="5"/>
  <c r="B137" i="5" s="1"/>
  <c r="M60" i="5"/>
  <c r="D136" i="5" s="1"/>
  <c r="K136" i="5" s="1"/>
  <c r="F215" i="5" s="1"/>
  <c r="I60" i="5"/>
  <c r="C136" i="5" s="1"/>
  <c r="J136" i="5" s="1"/>
  <c r="D215" i="5" s="1"/>
  <c r="E60" i="5"/>
  <c r="B136" i="5" s="1"/>
  <c r="M59" i="5"/>
  <c r="D135" i="5" s="1"/>
  <c r="I59" i="5"/>
  <c r="C135" i="5" s="1"/>
  <c r="E59" i="5"/>
  <c r="B135" i="5" s="1"/>
  <c r="M58" i="5"/>
  <c r="D134" i="5" s="1"/>
  <c r="I58" i="5"/>
  <c r="C134" i="5" s="1"/>
  <c r="J134" i="5" s="1"/>
  <c r="D213" i="5" s="1"/>
  <c r="E58" i="5"/>
  <c r="M57" i="5"/>
  <c r="D133" i="5" s="1"/>
  <c r="I57" i="5"/>
  <c r="C133" i="5" s="1"/>
  <c r="E57" i="5"/>
  <c r="B133" i="5" s="1"/>
  <c r="M56" i="5"/>
  <c r="I56" i="5"/>
  <c r="E56" i="5"/>
  <c r="B132" i="5" s="1"/>
  <c r="M55" i="5"/>
  <c r="D131" i="5" s="1"/>
  <c r="I55" i="5"/>
  <c r="E55" i="5"/>
  <c r="B131" i="5" s="1"/>
  <c r="M54" i="5"/>
  <c r="D130" i="5" s="1"/>
  <c r="I54" i="5"/>
  <c r="C130" i="5" s="1"/>
  <c r="E54" i="5"/>
  <c r="B130" i="5" s="1"/>
  <c r="M53" i="5"/>
  <c r="D129" i="5" s="1"/>
  <c r="I53" i="5"/>
  <c r="E53" i="5"/>
  <c r="B129" i="5" s="1"/>
  <c r="M52" i="5"/>
  <c r="D128" i="5" s="1"/>
  <c r="K128" i="5" s="1"/>
  <c r="F207" i="5" s="1"/>
  <c r="I52" i="5"/>
  <c r="C128" i="5" s="1"/>
  <c r="J128" i="5" s="1"/>
  <c r="D207" i="5" s="1"/>
  <c r="E52" i="5"/>
  <c r="B128" i="5" s="1"/>
  <c r="I128" i="5" s="1"/>
  <c r="M51" i="5"/>
  <c r="D127" i="5" s="1"/>
  <c r="I51" i="5"/>
  <c r="C127" i="5" s="1"/>
  <c r="E51" i="5"/>
  <c r="B127" i="5" s="1"/>
  <c r="M50" i="5"/>
  <c r="I50" i="5"/>
  <c r="C126" i="5" s="1"/>
  <c r="J126" i="5" s="1"/>
  <c r="D205" i="5" s="1"/>
  <c r="E50" i="5"/>
  <c r="B126" i="5" s="1"/>
  <c r="M49" i="5"/>
  <c r="D125" i="5" s="1"/>
  <c r="I49" i="5"/>
  <c r="C125" i="5" s="1"/>
  <c r="E49" i="5"/>
  <c r="B125" i="5" s="1"/>
  <c r="M48" i="5"/>
  <c r="D124" i="5" s="1"/>
  <c r="I48" i="5"/>
  <c r="E48" i="5"/>
  <c r="B124" i="5" s="1"/>
  <c r="M47" i="5"/>
  <c r="D123" i="5" s="1"/>
  <c r="K123" i="5" s="1"/>
  <c r="F202" i="5" s="1"/>
  <c r="I47" i="5"/>
  <c r="E47" i="5"/>
  <c r="B123" i="5" s="1"/>
  <c r="I123" i="5" s="1"/>
  <c r="M46" i="5"/>
  <c r="D122" i="5" s="1"/>
  <c r="I46" i="5"/>
  <c r="C122" i="5" s="1"/>
  <c r="E46" i="5"/>
  <c r="B122" i="5" s="1"/>
  <c r="M45" i="5"/>
  <c r="D121" i="5" s="1"/>
  <c r="I45" i="5"/>
  <c r="C121" i="5" s="1"/>
  <c r="E45" i="5"/>
  <c r="B121" i="5" s="1"/>
  <c r="M44" i="5"/>
  <c r="D120" i="5" s="1"/>
  <c r="K120" i="5" s="1"/>
  <c r="F199" i="5" s="1"/>
  <c r="I44" i="5"/>
  <c r="C120" i="5" s="1"/>
  <c r="J120" i="5" s="1"/>
  <c r="D199" i="5" s="1"/>
  <c r="E44" i="5"/>
  <c r="B120" i="5" s="1"/>
  <c r="I120" i="5" s="1"/>
  <c r="M43" i="5"/>
  <c r="D119" i="5" s="1"/>
  <c r="I43" i="5"/>
  <c r="C119" i="5" s="1"/>
  <c r="E43" i="5"/>
  <c r="B119" i="5" s="1"/>
  <c r="M42" i="5"/>
  <c r="D118" i="5" s="1"/>
  <c r="K118" i="5" s="1"/>
  <c r="F197" i="5" s="1"/>
  <c r="I42" i="5"/>
  <c r="C118" i="5" s="1"/>
  <c r="J118" i="5" s="1"/>
  <c r="D197" i="5" s="1"/>
  <c r="E42" i="5"/>
  <c r="M41" i="5"/>
  <c r="D117" i="5" s="1"/>
  <c r="I41" i="5"/>
  <c r="C117" i="5" s="1"/>
  <c r="E41" i="5"/>
  <c r="B117" i="5" s="1"/>
  <c r="M40" i="5"/>
  <c r="D116" i="5" s="1"/>
  <c r="I40" i="5"/>
  <c r="E40" i="5"/>
  <c r="B116" i="5" s="1"/>
  <c r="M39" i="5"/>
  <c r="D115" i="5" s="1"/>
  <c r="K115" i="5" s="1"/>
  <c r="F194" i="5" s="1"/>
  <c r="I39" i="5"/>
  <c r="C115" i="5" s="1"/>
  <c r="J115" i="5" s="1"/>
  <c r="D194" i="5" s="1"/>
  <c r="E39" i="5"/>
  <c r="B115" i="5" s="1"/>
  <c r="I115" i="5" s="1"/>
  <c r="M38" i="5"/>
  <c r="D114" i="5" s="1"/>
  <c r="I38" i="5"/>
  <c r="C114" i="5" s="1"/>
  <c r="E38" i="5"/>
  <c r="B114" i="5" s="1"/>
  <c r="M37" i="5"/>
  <c r="D113" i="5" s="1"/>
  <c r="I37" i="5"/>
  <c r="E37" i="5"/>
  <c r="B113" i="5" s="1"/>
  <c r="M36" i="5"/>
  <c r="D112" i="5" s="1"/>
  <c r="K112" i="5" s="1"/>
  <c r="F191" i="5" s="1"/>
  <c r="I36" i="5"/>
  <c r="E36" i="5"/>
  <c r="M35" i="5"/>
  <c r="D111" i="5" s="1"/>
  <c r="I35" i="5"/>
  <c r="C111" i="5" s="1"/>
  <c r="E35" i="5"/>
  <c r="B111" i="5" s="1"/>
  <c r="M34" i="5"/>
  <c r="D110" i="5" s="1"/>
  <c r="I34" i="5"/>
  <c r="C110" i="5" s="1"/>
  <c r="J110" i="5" s="1"/>
  <c r="D189" i="5" s="1"/>
  <c r="E34" i="5"/>
  <c r="B110" i="5" s="1"/>
  <c r="M33" i="5"/>
  <c r="D109" i="5" s="1"/>
  <c r="I33" i="5"/>
  <c r="C109" i="5" s="1"/>
  <c r="E33" i="5"/>
  <c r="M32" i="5"/>
  <c r="D108" i="5" s="1"/>
  <c r="I32" i="5"/>
  <c r="C108" i="5" s="1"/>
  <c r="E32" i="5"/>
  <c r="B108" i="5" s="1"/>
  <c r="M31" i="5"/>
  <c r="I31" i="5"/>
  <c r="E31" i="5"/>
  <c r="B107" i="5" s="1"/>
  <c r="I107" i="5" s="1"/>
  <c r="N30" i="5"/>
  <c r="M30" i="5"/>
  <c r="D106" i="5" s="1"/>
  <c r="J30" i="5"/>
  <c r="I30" i="5"/>
  <c r="C106" i="5" s="1"/>
  <c r="F30" i="5"/>
  <c r="E30" i="5"/>
  <c r="B106" i="5" s="1"/>
  <c r="I106" i="5" s="1"/>
  <c r="N29" i="5"/>
  <c r="M29" i="5"/>
  <c r="J29" i="5"/>
  <c r="I29" i="5"/>
  <c r="C105" i="5" s="1"/>
  <c r="F29" i="5"/>
  <c r="E29" i="5"/>
  <c r="B105" i="5" s="1"/>
  <c r="N28" i="5"/>
  <c r="M28" i="5"/>
  <c r="J28" i="5"/>
  <c r="I28" i="5"/>
  <c r="C104" i="5" s="1"/>
  <c r="F28" i="5"/>
  <c r="E28" i="5"/>
  <c r="B104" i="5" s="1"/>
  <c r="N27" i="5"/>
  <c r="M27" i="5"/>
  <c r="D103" i="5" s="1"/>
  <c r="J27" i="5"/>
  <c r="I27" i="5"/>
  <c r="F27" i="5"/>
  <c r="E27" i="5"/>
  <c r="B103" i="5" s="1"/>
  <c r="N26" i="5"/>
  <c r="M26" i="5"/>
  <c r="J26" i="5"/>
  <c r="I26" i="5"/>
  <c r="F26" i="5"/>
  <c r="E26" i="5"/>
  <c r="B102" i="5" s="1"/>
  <c r="N25" i="5"/>
  <c r="M25" i="5"/>
  <c r="D101" i="5" s="1"/>
  <c r="J25" i="5"/>
  <c r="I25" i="5"/>
  <c r="C101" i="5" s="1"/>
  <c r="F25" i="5"/>
  <c r="E25" i="5"/>
  <c r="N24" i="5"/>
  <c r="M24" i="5"/>
  <c r="D100" i="5" s="1"/>
  <c r="J24" i="5"/>
  <c r="I24" i="5"/>
  <c r="F24" i="5"/>
  <c r="E24" i="5"/>
  <c r="N23" i="5"/>
  <c r="M23" i="5"/>
  <c r="D99" i="5" s="1"/>
  <c r="J23" i="5"/>
  <c r="I23" i="5"/>
  <c r="F23" i="5"/>
  <c r="E23" i="5"/>
  <c r="N22" i="5"/>
  <c r="M22" i="5"/>
  <c r="D98" i="5" s="1"/>
  <c r="J22" i="5"/>
  <c r="I22" i="5"/>
  <c r="C98" i="5" s="1"/>
  <c r="F22" i="5"/>
  <c r="E22" i="5"/>
  <c r="B98" i="5" s="1"/>
  <c r="I98" i="5" s="1"/>
  <c r="N21" i="5"/>
  <c r="M21" i="5"/>
  <c r="J21" i="5"/>
  <c r="I21" i="5"/>
  <c r="C97" i="5" s="1"/>
  <c r="F21" i="5"/>
  <c r="E21" i="5"/>
  <c r="B97" i="5" s="1"/>
  <c r="N20" i="5"/>
  <c r="M20" i="5"/>
  <c r="J20" i="5"/>
  <c r="I20" i="5"/>
  <c r="C96" i="5" s="1"/>
  <c r="F20" i="5"/>
  <c r="E20" i="5"/>
  <c r="N19" i="5"/>
  <c r="M19" i="5"/>
  <c r="D95" i="5" s="1"/>
  <c r="J19" i="5"/>
  <c r="I19" i="5"/>
  <c r="F19" i="5"/>
  <c r="E19" i="5"/>
  <c r="B95" i="5" s="1"/>
  <c r="I95" i="5" s="1"/>
  <c r="N18" i="5"/>
  <c r="M18" i="5"/>
  <c r="J18" i="5"/>
  <c r="I18" i="5"/>
  <c r="F18" i="5"/>
  <c r="E18" i="5"/>
  <c r="B94" i="5" s="1"/>
  <c r="N17" i="5"/>
  <c r="M17" i="5"/>
  <c r="D93" i="5" s="1"/>
  <c r="J17" i="5"/>
  <c r="I17" i="5"/>
  <c r="C93" i="5" s="1"/>
  <c r="F17" i="5"/>
  <c r="E17" i="5"/>
  <c r="N16" i="5"/>
  <c r="M16" i="5"/>
  <c r="D92" i="5" s="1"/>
  <c r="J16" i="5"/>
  <c r="I16" i="5"/>
  <c r="F16" i="5"/>
  <c r="E16" i="5"/>
  <c r="N15" i="5"/>
  <c r="M15" i="5"/>
  <c r="D91" i="5" s="1"/>
  <c r="J15" i="5"/>
  <c r="I15" i="5"/>
  <c r="F15" i="5"/>
  <c r="E15" i="5"/>
  <c r="N14" i="5"/>
  <c r="M14" i="5"/>
  <c r="D90" i="5" s="1"/>
  <c r="J14" i="5"/>
  <c r="I14" i="5"/>
  <c r="C90" i="5" s="1"/>
  <c r="F14" i="5"/>
  <c r="E14" i="5"/>
  <c r="B90" i="5" s="1"/>
  <c r="N13" i="5"/>
  <c r="M13" i="5"/>
  <c r="J13" i="5"/>
  <c r="I13" i="5"/>
  <c r="C89" i="5" s="1"/>
  <c r="F13" i="5"/>
  <c r="E13" i="5"/>
  <c r="B89" i="5" s="1"/>
  <c r="N12" i="5"/>
  <c r="M12" i="5"/>
  <c r="J12" i="5"/>
  <c r="I12" i="5"/>
  <c r="C88" i="5" s="1"/>
  <c r="J88" i="5" s="1"/>
  <c r="D167" i="5" s="1"/>
  <c r="F12" i="5"/>
  <c r="E12" i="5"/>
  <c r="N11" i="5"/>
  <c r="M11" i="5"/>
  <c r="D87" i="5" s="1"/>
  <c r="J11" i="5"/>
  <c r="I11" i="5"/>
  <c r="F11" i="5"/>
  <c r="E11" i="5"/>
  <c r="B87" i="5" s="1"/>
  <c r="N10" i="5"/>
  <c r="M10" i="5"/>
  <c r="J10" i="5"/>
  <c r="I10" i="5"/>
  <c r="F10" i="5"/>
  <c r="E10" i="5"/>
  <c r="B86" i="5" s="1"/>
  <c r="N9" i="5"/>
  <c r="M9" i="5"/>
  <c r="D85" i="5" s="1"/>
  <c r="J9" i="5"/>
  <c r="I9" i="5"/>
  <c r="C85" i="5" s="1"/>
  <c r="F9" i="5"/>
  <c r="E9" i="5"/>
  <c r="N8" i="5"/>
  <c r="M8" i="5"/>
  <c r="J8" i="5"/>
  <c r="I8" i="5"/>
  <c r="F8" i="5"/>
  <c r="E8" i="5"/>
  <c r="N7" i="5"/>
  <c r="M7" i="5"/>
  <c r="D83" i="5" s="1"/>
  <c r="K83" i="5" s="1"/>
  <c r="F162" i="5" s="1"/>
  <c r="J7" i="5"/>
  <c r="I7" i="5"/>
  <c r="F7" i="5"/>
  <c r="E7" i="5"/>
  <c r="N6" i="5"/>
  <c r="M6" i="5"/>
  <c r="D82" i="5" s="1"/>
  <c r="J6" i="5"/>
  <c r="I6" i="5"/>
  <c r="C82" i="5" s="1"/>
  <c r="F6" i="5"/>
  <c r="E6" i="5"/>
  <c r="B82" i="5" s="1"/>
  <c r="N5" i="5"/>
  <c r="M5" i="5"/>
  <c r="J5" i="5"/>
  <c r="J5" i="4" s="1"/>
  <c r="I5" i="5"/>
  <c r="C81" i="5" s="1"/>
  <c r="F5" i="5"/>
  <c r="E5" i="5"/>
  <c r="B81" i="5" s="1"/>
  <c r="N4" i="5"/>
  <c r="M4" i="5"/>
  <c r="J4" i="5"/>
  <c r="I4" i="5"/>
  <c r="F4" i="5"/>
  <c r="E4" i="5"/>
  <c r="P3" i="5"/>
  <c r="N3" i="5"/>
  <c r="M3" i="5"/>
  <c r="J3" i="5"/>
  <c r="I3" i="5"/>
  <c r="F3" i="5"/>
  <c r="E3" i="5"/>
  <c r="P2" i="5"/>
  <c r="N2" i="5"/>
  <c r="N2" i="4" s="1"/>
  <c r="M2" i="5"/>
  <c r="M2" i="4" s="1"/>
  <c r="E14" i="4" s="1"/>
  <c r="J2" i="5"/>
  <c r="J2" i="10" s="1"/>
  <c r="I2" i="5"/>
  <c r="I2" i="10" s="1"/>
  <c r="C36" i="10" s="1"/>
  <c r="J36" i="10" s="1"/>
  <c r="L64" i="10" s="1"/>
  <c r="F2" i="5"/>
  <c r="F2" i="10" s="1"/>
  <c r="J64" i="10" s="1"/>
  <c r="K64" i="10" s="1"/>
  <c r="E2" i="5"/>
  <c r="H21" i="4"/>
  <c r="G21" i="4"/>
  <c r="F21" i="4"/>
  <c r="E21" i="4"/>
  <c r="D21" i="4"/>
  <c r="C21" i="4"/>
  <c r="A18" i="4"/>
  <c r="A31" i="4" s="1"/>
  <c r="A17" i="4"/>
  <c r="A30" i="4" s="1"/>
  <c r="A16" i="4"/>
  <c r="A29" i="4" s="1"/>
  <c r="A15" i="4"/>
  <c r="A28" i="4" s="1"/>
  <c r="N6" i="4"/>
  <c r="M6" i="4"/>
  <c r="J6" i="4"/>
  <c r="I6" i="4"/>
  <c r="F6" i="4"/>
  <c r="E6" i="4"/>
  <c r="C18" i="4" s="1"/>
  <c r="N5" i="4"/>
  <c r="M5" i="4"/>
  <c r="E17" i="4" s="1"/>
  <c r="F5" i="4"/>
  <c r="E5" i="4"/>
  <c r="N4" i="4"/>
  <c r="M4" i="4"/>
  <c r="E16" i="4" s="1"/>
  <c r="L16" i="4" s="1"/>
  <c r="F29" i="4" s="1"/>
  <c r="J4" i="4"/>
  <c r="I4" i="4"/>
  <c r="F4" i="4"/>
  <c r="E4" i="4"/>
  <c r="N3" i="4"/>
  <c r="M3" i="4"/>
  <c r="E15" i="4" s="1"/>
  <c r="J3" i="4"/>
  <c r="I3" i="4"/>
  <c r="D15" i="4" s="1"/>
  <c r="F3" i="4"/>
  <c r="E3" i="4"/>
  <c r="L2" i="4"/>
  <c r="K2" i="4"/>
  <c r="H2" i="4"/>
  <c r="G2" i="4"/>
  <c r="D2" i="4"/>
  <c r="C2" i="4"/>
  <c r="B2" i="4"/>
  <c r="A2" i="4"/>
  <c r="A14" i="4" s="1"/>
  <c r="J82" i="5" l="1"/>
  <c r="D161" i="5" s="1"/>
  <c r="C44" i="10"/>
  <c r="I146" i="5"/>
  <c r="J146" i="5"/>
  <c r="D225" i="5" s="1"/>
  <c r="J2" i="4"/>
  <c r="K122" i="5"/>
  <c r="F201" i="5" s="1"/>
  <c r="J125" i="5"/>
  <c r="K130" i="5"/>
  <c r="F209" i="5" s="1"/>
  <c r="K138" i="5"/>
  <c r="F217" i="5" s="1"/>
  <c r="K146" i="5"/>
  <c r="F225" i="5" s="1"/>
  <c r="J149" i="5"/>
  <c r="D228" i="5" s="1"/>
  <c r="S4" i="10"/>
  <c r="F38" i="10" s="1"/>
  <c r="T9" i="10"/>
  <c r="S30" i="10"/>
  <c r="J130" i="5"/>
  <c r="D209" i="5" s="1"/>
  <c r="O15" i="5"/>
  <c r="J138" i="5"/>
  <c r="D217" i="5" s="1"/>
  <c r="I110" i="5"/>
  <c r="I126" i="5"/>
  <c r="E30" i="11"/>
  <c r="K117" i="5"/>
  <c r="F196" i="5" s="1"/>
  <c r="K125" i="5"/>
  <c r="Q68" i="5"/>
  <c r="G144" i="5" s="1"/>
  <c r="R42" i="5"/>
  <c r="S12" i="10"/>
  <c r="F46" i="10" s="1"/>
  <c r="Q16" i="10"/>
  <c r="S20" i="10"/>
  <c r="F54" i="10" s="1"/>
  <c r="Q23" i="10"/>
  <c r="E57" i="10" s="1"/>
  <c r="D38" i="10"/>
  <c r="B30" i="11"/>
  <c r="J18" i="4"/>
  <c r="Q19" i="5"/>
  <c r="G95" i="5" s="1"/>
  <c r="R71" i="5"/>
  <c r="Q19" i="10"/>
  <c r="E53" i="10" s="1"/>
  <c r="T20" i="10"/>
  <c r="G54" i="10" s="1"/>
  <c r="C22" i="11"/>
  <c r="F2" i="4"/>
  <c r="L14" i="4"/>
  <c r="Q40" i="5"/>
  <c r="G116" i="5" s="1"/>
  <c r="Q48" i="5"/>
  <c r="G124" i="5" s="1"/>
  <c r="R67" i="5"/>
  <c r="S6" i="10"/>
  <c r="F40" i="10" s="1"/>
  <c r="B46" i="10"/>
  <c r="I46" i="10" s="1"/>
  <c r="B21" i="11"/>
  <c r="R56" i="5"/>
  <c r="T8" i="10"/>
  <c r="B58" i="10"/>
  <c r="Q6" i="4"/>
  <c r="H18" i="4" s="1"/>
  <c r="O33" i="5"/>
  <c r="E109" i="5" s="1"/>
  <c r="I125" i="5"/>
  <c r="I141" i="5"/>
  <c r="B220" i="5" s="1"/>
  <c r="I149" i="5"/>
  <c r="K92" i="5"/>
  <c r="F171" i="5" s="1"/>
  <c r="I137" i="5"/>
  <c r="I145" i="5"/>
  <c r="I108" i="5"/>
  <c r="I116" i="5"/>
  <c r="B195" i="5" s="1"/>
  <c r="J137" i="5"/>
  <c r="D216" i="5" s="1"/>
  <c r="I105" i="5"/>
  <c r="E184" i="5" s="1"/>
  <c r="J108" i="5"/>
  <c r="D187" i="5" s="1"/>
  <c r="K137" i="5"/>
  <c r="F216" i="5" s="1"/>
  <c r="K116" i="5"/>
  <c r="F195" i="5" s="1"/>
  <c r="K140" i="5"/>
  <c r="F219" i="5" s="1"/>
  <c r="J97" i="5"/>
  <c r="D176" i="5" s="1"/>
  <c r="J105" i="5"/>
  <c r="D184" i="5" s="1"/>
  <c r="N2" i="15"/>
  <c r="G20" i="15" s="1"/>
  <c r="N20" i="15" s="1"/>
  <c r="F5" i="15"/>
  <c r="C23" i="15" s="1"/>
  <c r="J23" i="15" s="1"/>
  <c r="J10" i="15"/>
  <c r="E28" i="15" s="1"/>
  <c r="L28" i="15" s="1"/>
  <c r="K58" i="10"/>
  <c r="M9" i="15"/>
  <c r="F27" i="15" s="1"/>
  <c r="M27" i="15" s="1"/>
  <c r="F11" i="15"/>
  <c r="C29" i="15" s="1"/>
  <c r="J29" i="15" s="1"/>
  <c r="I58" i="10"/>
  <c r="I10" i="15"/>
  <c r="D28" i="15" s="1"/>
  <c r="K28" i="15" s="1"/>
  <c r="I151" i="5"/>
  <c r="B230" i="5" s="1"/>
  <c r="Q10" i="10"/>
  <c r="E44" i="10" s="1"/>
  <c r="S11" i="10"/>
  <c r="F45" i="10" s="1"/>
  <c r="T21" i="10"/>
  <c r="D47" i="10"/>
  <c r="K47" i="10" s="1"/>
  <c r="B54" i="10"/>
  <c r="I54" i="10" s="1"/>
  <c r="C60" i="10"/>
  <c r="J60" i="10" s="1"/>
  <c r="M7" i="15"/>
  <c r="F25" i="15" s="1"/>
  <c r="M25" i="15" s="1"/>
  <c r="B20" i="11"/>
  <c r="R64" i="5"/>
  <c r="H140" i="5" s="1"/>
  <c r="P4" i="5"/>
  <c r="S64" i="10" s="1"/>
  <c r="T64" i="10" s="1"/>
  <c r="J106" i="5"/>
  <c r="D185" i="5" s="1"/>
  <c r="O54" i="5"/>
  <c r="E130" i="5" s="1"/>
  <c r="J85" i="5"/>
  <c r="D164" i="5" s="1"/>
  <c r="Q12" i="5"/>
  <c r="G88" i="5" s="1"/>
  <c r="K90" i="5"/>
  <c r="F169" i="5" s="1"/>
  <c r="I111" i="5"/>
  <c r="J151" i="5"/>
  <c r="D230" i="5" s="1"/>
  <c r="T12" i="10"/>
  <c r="G46" i="10" s="1"/>
  <c r="T13" i="10"/>
  <c r="G47" i="10" s="1"/>
  <c r="S17" i="10"/>
  <c r="F51" i="10" s="1"/>
  <c r="D54" i="10"/>
  <c r="K54" i="10" s="1"/>
  <c r="B19" i="11"/>
  <c r="J44" i="10"/>
  <c r="R72" i="5"/>
  <c r="H148" i="5" s="1"/>
  <c r="Q2" i="5"/>
  <c r="S2" i="10" s="1"/>
  <c r="F36" i="10" s="1"/>
  <c r="J3" i="12" s="1"/>
  <c r="R6" i="5"/>
  <c r="H82" i="5" s="1"/>
  <c r="K98" i="5"/>
  <c r="F177" i="5" s="1"/>
  <c r="I104" i="5"/>
  <c r="K106" i="5"/>
  <c r="F185" i="5" s="1"/>
  <c r="O32" i="5"/>
  <c r="E108" i="5" s="1"/>
  <c r="J111" i="5"/>
  <c r="D190" i="5" s="1"/>
  <c r="I114" i="5"/>
  <c r="C193" i="5" s="1"/>
  <c r="K151" i="5"/>
  <c r="F230" i="5" s="1"/>
  <c r="C39" i="10"/>
  <c r="J39" i="10" s="1"/>
  <c r="J98" i="5"/>
  <c r="D177" i="5" s="1"/>
  <c r="K111" i="5"/>
  <c r="F190" i="5" s="1"/>
  <c r="S26" i="10"/>
  <c r="F60" i="10" s="1"/>
  <c r="F3" i="15"/>
  <c r="C21" i="15" s="1"/>
  <c r="J21" i="15" s="1"/>
  <c r="I8" i="15"/>
  <c r="D26" i="15" s="1"/>
  <c r="K26" i="15" s="1"/>
  <c r="N9" i="15"/>
  <c r="G27" i="15" s="1"/>
  <c r="N27" i="15" s="1"/>
  <c r="I82" i="5"/>
  <c r="C161" i="5" s="1"/>
  <c r="J96" i="5"/>
  <c r="D175" i="5" s="1"/>
  <c r="R23" i="5"/>
  <c r="H99" i="5" s="1"/>
  <c r="J104" i="5"/>
  <c r="D183" i="5" s="1"/>
  <c r="K114" i="5"/>
  <c r="F193" i="5" s="1"/>
  <c r="I117" i="5"/>
  <c r="C196" i="5" s="1"/>
  <c r="I122" i="5"/>
  <c r="C201" i="5" s="1"/>
  <c r="R73" i="5"/>
  <c r="T4" i="10"/>
  <c r="T6" i="10"/>
  <c r="G40" i="10" s="1"/>
  <c r="C37" i="10"/>
  <c r="J37" i="10" s="1"/>
  <c r="D46" i="10"/>
  <c r="K46" i="10" s="1"/>
  <c r="C55" i="10"/>
  <c r="J55" i="10" s="1"/>
  <c r="J90" i="5"/>
  <c r="D169" i="5" s="1"/>
  <c r="K20" i="15"/>
  <c r="K82" i="5"/>
  <c r="F161" i="5" s="1"/>
  <c r="Q11" i="5"/>
  <c r="G87" i="5" s="1"/>
  <c r="I90" i="5"/>
  <c r="Q36" i="5"/>
  <c r="G112" i="5" s="1"/>
  <c r="R38" i="5"/>
  <c r="H114" i="5" s="1"/>
  <c r="J117" i="5"/>
  <c r="D196" i="5" s="1"/>
  <c r="O43" i="5"/>
  <c r="E119" i="5" s="1"/>
  <c r="J122" i="5"/>
  <c r="D201" i="5" s="1"/>
  <c r="O48" i="5"/>
  <c r="E124" i="5" s="1"/>
  <c r="I130" i="5"/>
  <c r="E209" i="5" s="1"/>
  <c r="Q56" i="5"/>
  <c r="G132" i="5" s="1"/>
  <c r="J140" i="5"/>
  <c r="D219" i="5" s="1"/>
  <c r="C53" i="10"/>
  <c r="J53" i="10" s="1"/>
  <c r="E2" i="15"/>
  <c r="M13" i="15"/>
  <c r="F31" i="15" s="1"/>
  <c r="M31" i="15" s="1"/>
  <c r="K39" i="10"/>
  <c r="E3" i="15"/>
  <c r="B21" i="15" s="1"/>
  <c r="I21" i="15" s="1"/>
  <c r="E11" i="15"/>
  <c r="B29" i="15" s="1"/>
  <c r="I29" i="15" s="1"/>
  <c r="I4" i="15"/>
  <c r="D22" i="15" s="1"/>
  <c r="K22" i="15" s="1"/>
  <c r="M5" i="15"/>
  <c r="F23" i="15" s="1"/>
  <c r="M23" i="15" s="1"/>
  <c r="N13" i="15"/>
  <c r="G31" i="15" s="1"/>
  <c r="N31" i="15" s="1"/>
  <c r="N7" i="15"/>
  <c r="G25" i="15" s="1"/>
  <c r="N25" i="15" s="1"/>
  <c r="K38" i="10"/>
  <c r="E5" i="15"/>
  <c r="B23" i="15" s="1"/>
  <c r="I23" i="15" s="1"/>
  <c r="J8" i="15"/>
  <c r="E26" i="15" s="1"/>
  <c r="L26" i="15" s="1"/>
  <c r="E18" i="4"/>
  <c r="L18" i="4" s="1"/>
  <c r="F31" i="4" s="1"/>
  <c r="B31" i="4"/>
  <c r="C31" i="4"/>
  <c r="E205" i="5"/>
  <c r="B205" i="5"/>
  <c r="C205" i="5"/>
  <c r="R7" i="5"/>
  <c r="O14" i="5"/>
  <c r="E90" i="5" s="1"/>
  <c r="R16" i="5"/>
  <c r="H92" i="5" s="1"/>
  <c r="O20" i="5"/>
  <c r="Q31" i="5"/>
  <c r="G107" i="5" s="1"/>
  <c r="J109" i="5"/>
  <c r="D188" i="5" s="1"/>
  <c r="O35" i="5"/>
  <c r="E111" i="5" s="1"/>
  <c r="C195" i="5"/>
  <c r="O46" i="5"/>
  <c r="E122" i="5" s="1"/>
  <c r="R48" i="5"/>
  <c r="Q55" i="5"/>
  <c r="G131" i="5" s="1"/>
  <c r="R58" i="5"/>
  <c r="Q69" i="5"/>
  <c r="G145" i="5" s="1"/>
  <c r="Q71" i="5"/>
  <c r="G147" i="5" s="1"/>
  <c r="B186" i="5"/>
  <c r="C186" i="5"/>
  <c r="C224" i="5"/>
  <c r="B224" i="5"/>
  <c r="R4" i="5"/>
  <c r="E161" i="5"/>
  <c r="B161" i="5"/>
  <c r="R15" i="5"/>
  <c r="O28" i="5"/>
  <c r="E104" i="5" s="1"/>
  <c r="C185" i="5"/>
  <c r="E185" i="5"/>
  <c r="B185" i="5"/>
  <c r="R31" i="5"/>
  <c r="K109" i="5"/>
  <c r="F188" i="5" s="1"/>
  <c r="R35" i="5"/>
  <c r="H111" i="5" s="1"/>
  <c r="B202" i="5"/>
  <c r="C202" i="5"/>
  <c r="E204" i="5"/>
  <c r="B204" i="5"/>
  <c r="C204" i="5"/>
  <c r="C216" i="5"/>
  <c r="B216" i="5"/>
  <c r="O67" i="5"/>
  <c r="E143" i="5" s="1"/>
  <c r="I2" i="4"/>
  <c r="D14" i="4" s="1"/>
  <c r="K14" i="4" s="1"/>
  <c r="R3" i="5"/>
  <c r="R8" i="5"/>
  <c r="H84" i="5" s="1"/>
  <c r="C169" i="5"/>
  <c r="B169" i="5"/>
  <c r="B174" i="5"/>
  <c r="C174" i="5"/>
  <c r="O23" i="5"/>
  <c r="Q28" i="5"/>
  <c r="G104" i="5" s="1"/>
  <c r="C187" i="5"/>
  <c r="B187" i="5"/>
  <c r="E189" i="5"/>
  <c r="B189" i="5"/>
  <c r="C189" i="5"/>
  <c r="R36" i="5"/>
  <c r="H112" i="5" s="1"/>
  <c r="I119" i="5"/>
  <c r="Q47" i="5"/>
  <c r="G123" i="5" s="1"/>
  <c r="D40" i="11"/>
  <c r="D204" i="5"/>
  <c r="O51" i="5"/>
  <c r="E127" i="5" s="1"/>
  <c r="C209" i="5"/>
  <c r="B209" i="5"/>
  <c r="C225" i="5"/>
  <c r="E225" i="5"/>
  <c r="B225" i="5"/>
  <c r="I150" i="5"/>
  <c r="B118" i="5"/>
  <c r="I118" i="5" s="1"/>
  <c r="L118" i="5" s="1"/>
  <c r="Q15" i="5"/>
  <c r="G91" i="5" s="1"/>
  <c r="R22" i="5"/>
  <c r="H98" i="5" s="1"/>
  <c r="R24" i="5"/>
  <c r="H100" i="5" s="1"/>
  <c r="R26" i="5"/>
  <c r="H102" i="5" s="1"/>
  <c r="O38" i="5"/>
  <c r="E114" i="5" s="1"/>
  <c r="O40" i="5"/>
  <c r="S40" i="5" s="1"/>
  <c r="J119" i="5"/>
  <c r="D198" i="5" s="1"/>
  <c r="F39" i="11"/>
  <c r="F204" i="5"/>
  <c r="R51" i="5"/>
  <c r="H127" i="5" s="1"/>
  <c r="J150" i="5"/>
  <c r="D229" i="5" s="1"/>
  <c r="C116" i="5"/>
  <c r="J116" i="5" s="1"/>
  <c r="D195" i="5" s="1"/>
  <c r="I5" i="4"/>
  <c r="D17" i="4" s="1"/>
  <c r="K17" i="4" s="1"/>
  <c r="R45" i="5"/>
  <c r="E207" i="5"/>
  <c r="B207" i="5"/>
  <c r="C207" i="5"/>
  <c r="R61" i="5"/>
  <c r="J142" i="5"/>
  <c r="D221" i="5" s="1"/>
  <c r="Q72" i="5"/>
  <c r="G148" i="5" s="1"/>
  <c r="K150" i="5"/>
  <c r="F229" i="5" s="1"/>
  <c r="Q4" i="5"/>
  <c r="C177" i="5"/>
  <c r="B177" i="5"/>
  <c r="B190" i="5"/>
  <c r="B194" i="5"/>
  <c r="C194" i="5"/>
  <c r="E194" i="5"/>
  <c r="B109" i="5"/>
  <c r="I109" i="5" s="1"/>
  <c r="C124" i="5"/>
  <c r="J124" i="5" s="1"/>
  <c r="O17" i="5"/>
  <c r="E93" i="5" s="1"/>
  <c r="Q20" i="5"/>
  <c r="G96" i="5" s="1"/>
  <c r="Q23" i="5"/>
  <c r="G99" i="5" s="1"/>
  <c r="R32" i="5"/>
  <c r="H108" i="5" s="1"/>
  <c r="E199" i="5"/>
  <c r="B199" i="5"/>
  <c r="C199" i="5"/>
  <c r="K124" i="5"/>
  <c r="R50" i="5"/>
  <c r="H126" i="5" s="1"/>
  <c r="R54" i="5"/>
  <c r="H130" i="5" s="1"/>
  <c r="O64" i="5"/>
  <c r="E140" i="5" s="1"/>
  <c r="Q67" i="5"/>
  <c r="G143" i="5" s="1"/>
  <c r="R68" i="5"/>
  <c r="E228" i="5"/>
  <c r="B228" i="5"/>
  <c r="C228" i="5"/>
  <c r="D107" i="5"/>
  <c r="K107" i="5" s="1"/>
  <c r="F186" i="5" s="1"/>
  <c r="R14" i="5"/>
  <c r="H90" i="5" s="1"/>
  <c r="J101" i="5"/>
  <c r="D180" i="5" s="1"/>
  <c r="Q37" i="5"/>
  <c r="G113" i="5" s="1"/>
  <c r="O41" i="5"/>
  <c r="E117" i="5" s="1"/>
  <c r="Q53" i="5"/>
  <c r="G129" i="5" s="1"/>
  <c r="O57" i="5"/>
  <c r="E133" i="5" s="1"/>
  <c r="K142" i="5"/>
  <c r="F221" i="5" s="1"/>
  <c r="O71" i="5"/>
  <c r="E147" i="5" s="1"/>
  <c r="B88" i="5"/>
  <c r="I88" i="5" s="1"/>
  <c r="B96" i="5"/>
  <c r="I96" i="5" s="1"/>
  <c r="K99" i="5"/>
  <c r="F178" i="5" s="1"/>
  <c r="B112" i="5"/>
  <c r="I112" i="5" s="1"/>
  <c r="D126" i="5"/>
  <c r="K126" i="5" s="1"/>
  <c r="C132" i="5"/>
  <c r="B134" i="5"/>
  <c r="I134" i="5" s="1"/>
  <c r="L15" i="4"/>
  <c r="L19" i="4" s="1"/>
  <c r="O12" i="5"/>
  <c r="E88" i="5" s="1"/>
  <c r="J93" i="5"/>
  <c r="D172" i="5" s="1"/>
  <c r="Q27" i="5"/>
  <c r="G103" i="5" s="1"/>
  <c r="O31" i="5"/>
  <c r="O34" i="5"/>
  <c r="K113" i="5"/>
  <c r="F192" i="5" s="1"/>
  <c r="R41" i="5"/>
  <c r="H117" i="5" s="1"/>
  <c r="O44" i="5"/>
  <c r="E120" i="5" s="1"/>
  <c r="O47" i="5"/>
  <c r="B40" i="11"/>
  <c r="E40" i="11"/>
  <c r="C40" i="11"/>
  <c r="O50" i="5"/>
  <c r="S54" i="5"/>
  <c r="R57" i="5"/>
  <c r="H133" i="5" s="1"/>
  <c r="J135" i="5"/>
  <c r="D214" i="5" s="1"/>
  <c r="O60" i="5"/>
  <c r="S60" i="5" s="1"/>
  <c r="O63" i="5"/>
  <c r="O66" i="5"/>
  <c r="E142" i="5" s="1"/>
  <c r="S67" i="5"/>
  <c r="L146" i="5"/>
  <c r="D84" i="5"/>
  <c r="K84" i="5" s="1"/>
  <c r="F163" i="5" s="1"/>
  <c r="C112" i="5"/>
  <c r="J112" i="5" s="1"/>
  <c r="D132" i="5"/>
  <c r="K132" i="5" s="1"/>
  <c r="F211" i="5" s="1"/>
  <c r="B143" i="5"/>
  <c r="C145" i="5"/>
  <c r="J145" i="5" s="1"/>
  <c r="D224" i="5" s="1"/>
  <c r="D147" i="5"/>
  <c r="O3" i="4"/>
  <c r="R3" i="4" s="1"/>
  <c r="I15" i="4" s="1"/>
  <c r="Q7" i="5"/>
  <c r="G83" i="5" s="1"/>
  <c r="K85" i="5"/>
  <c r="F164" i="5" s="1"/>
  <c r="R10" i="5"/>
  <c r="H86" i="5" s="1"/>
  <c r="R34" i="5"/>
  <c r="H110" i="5" s="1"/>
  <c r="O37" i="5"/>
  <c r="E113" i="5" s="1"/>
  <c r="R44" i="5"/>
  <c r="H120" i="5" s="1"/>
  <c r="R47" i="5"/>
  <c r="O53" i="5"/>
  <c r="E129" i="5" s="1"/>
  <c r="R60" i="5"/>
  <c r="R63" i="5"/>
  <c r="H139" i="5" s="1"/>
  <c r="Q66" i="5"/>
  <c r="G142" i="5" s="1"/>
  <c r="I144" i="5"/>
  <c r="O70" i="5"/>
  <c r="S70" i="5" s="1"/>
  <c r="O75" i="5"/>
  <c r="D102" i="5"/>
  <c r="O4" i="5"/>
  <c r="S4" i="5" s="1"/>
  <c r="N76" i="5"/>
  <c r="K93" i="5"/>
  <c r="F172" i="5" s="1"/>
  <c r="R18" i="5"/>
  <c r="H94" i="5" s="1"/>
  <c r="R37" i="5"/>
  <c r="H113" i="5" s="1"/>
  <c r="R53" i="5"/>
  <c r="O56" i="5"/>
  <c r="E132" i="5" s="1"/>
  <c r="O59" i="5"/>
  <c r="O62" i="5"/>
  <c r="R66" i="5"/>
  <c r="H142" i="5" s="1"/>
  <c r="Q70" i="5"/>
  <c r="G146" i="5" s="1"/>
  <c r="I148" i="5"/>
  <c r="O74" i="5"/>
  <c r="Q75" i="5"/>
  <c r="G151" i="5" s="1"/>
  <c r="C123" i="5"/>
  <c r="J123" i="5" s="1"/>
  <c r="E202" i="5" s="1"/>
  <c r="K143" i="5"/>
  <c r="F222" i="5" s="1"/>
  <c r="Q3" i="4"/>
  <c r="H15" i="4" s="1"/>
  <c r="Q9" i="5"/>
  <c r="G85" i="5" s="1"/>
  <c r="I97" i="5"/>
  <c r="R25" i="5"/>
  <c r="H101" i="5" s="1"/>
  <c r="R40" i="5"/>
  <c r="H116" i="5" s="1"/>
  <c r="R43" i="5"/>
  <c r="Q45" i="5"/>
  <c r="G121" i="5" s="1"/>
  <c r="R46" i="5"/>
  <c r="H122" i="5" s="1"/>
  <c r="O49" i="5"/>
  <c r="E125" i="5" s="1"/>
  <c r="R59" i="5"/>
  <c r="R62" i="5"/>
  <c r="H138" i="5" s="1"/>
  <c r="O65" i="5"/>
  <c r="E141" i="5" s="1"/>
  <c r="K144" i="5"/>
  <c r="F223" i="5" s="1"/>
  <c r="O69" i="5"/>
  <c r="E145" i="5" s="1"/>
  <c r="R70" i="5"/>
  <c r="J148" i="5"/>
  <c r="D227" i="5" s="1"/>
  <c r="Q74" i="5"/>
  <c r="G150" i="5" s="1"/>
  <c r="R75" i="5"/>
  <c r="H151" i="5" s="1"/>
  <c r="C83" i="5"/>
  <c r="J83" i="5" s="1"/>
  <c r="D162" i="5" s="1"/>
  <c r="C129" i="5"/>
  <c r="J129" i="5" s="1"/>
  <c r="D208" i="5" s="1"/>
  <c r="C131" i="5"/>
  <c r="J131" i="5" s="1"/>
  <c r="J141" i="5"/>
  <c r="D220" i="5" s="1"/>
  <c r="B5" i="11"/>
  <c r="P3" i="4"/>
  <c r="G15" i="4" s="1"/>
  <c r="R9" i="5"/>
  <c r="H85" i="5" s="1"/>
  <c r="Q17" i="5"/>
  <c r="G93" i="5" s="1"/>
  <c r="R33" i="5"/>
  <c r="H109" i="5" s="1"/>
  <c r="O36" i="5"/>
  <c r="E112" i="5" s="1"/>
  <c r="O39" i="5"/>
  <c r="O42" i="5"/>
  <c r="S43" i="5"/>
  <c r="S46" i="5"/>
  <c r="R49" i="5"/>
  <c r="H125" i="5" s="1"/>
  <c r="O52" i="5"/>
  <c r="E128" i="5" s="1"/>
  <c r="O55" i="5"/>
  <c r="O58" i="5"/>
  <c r="R65" i="5"/>
  <c r="H141" i="5" s="1"/>
  <c r="O68" i="5"/>
  <c r="K148" i="5"/>
  <c r="F227" i="5" s="1"/>
  <c r="O73" i="5"/>
  <c r="E149" i="5" s="1"/>
  <c r="R74" i="5"/>
  <c r="H150" i="5" s="1"/>
  <c r="C91" i="5"/>
  <c r="J91" i="5" s="1"/>
  <c r="D170" i="5" s="1"/>
  <c r="C99" i="5"/>
  <c r="J99" i="5" s="1"/>
  <c r="D178" i="5" s="1"/>
  <c r="C113" i="5"/>
  <c r="J113" i="5" s="1"/>
  <c r="C144" i="5"/>
  <c r="J144" i="5" s="1"/>
  <c r="C15" i="4"/>
  <c r="J76" i="5"/>
  <c r="O6" i="5"/>
  <c r="E82" i="5" s="1"/>
  <c r="O7" i="5"/>
  <c r="O9" i="5"/>
  <c r="E85" i="5" s="1"/>
  <c r="R17" i="5"/>
  <c r="H93" i="5" s="1"/>
  <c r="F76" i="5"/>
  <c r="O25" i="5"/>
  <c r="E101" i="5" s="1"/>
  <c r="R39" i="5"/>
  <c r="O45" i="5"/>
  <c r="E121" i="5" s="1"/>
  <c r="C38" i="11"/>
  <c r="B38" i="11"/>
  <c r="R52" i="5"/>
  <c r="H128" i="5" s="1"/>
  <c r="R55" i="5"/>
  <c r="H131" i="5" s="1"/>
  <c r="O61" i="5"/>
  <c r="E137" i="5" s="1"/>
  <c r="I142" i="5"/>
  <c r="R69" i="5"/>
  <c r="O72" i="5"/>
  <c r="Q73" i="5"/>
  <c r="G149" i="5" s="1"/>
  <c r="C107" i="5"/>
  <c r="J107" i="5" s="1"/>
  <c r="K139" i="5"/>
  <c r="F218" i="5" s="1"/>
  <c r="K101" i="5"/>
  <c r="F180" i="5" s="1"/>
  <c r="I131" i="5"/>
  <c r="K135" i="5"/>
  <c r="F214" i="5" s="1"/>
  <c r="I102" i="5"/>
  <c r="I103" i="5"/>
  <c r="I121" i="5"/>
  <c r="K141" i="5"/>
  <c r="K145" i="5"/>
  <c r="F224" i="5" s="1"/>
  <c r="K100" i="5"/>
  <c r="F179" i="5" s="1"/>
  <c r="K134" i="5"/>
  <c r="I136" i="5"/>
  <c r="I127" i="5"/>
  <c r="K131" i="5"/>
  <c r="F210" i="5" s="1"/>
  <c r="K108" i="5"/>
  <c r="J127" i="5"/>
  <c r="D206" i="5" s="1"/>
  <c r="I133" i="5"/>
  <c r="J143" i="5"/>
  <c r="D222" i="5" s="1"/>
  <c r="J121" i="5"/>
  <c r="D200" i="5" s="1"/>
  <c r="L130" i="5"/>
  <c r="J133" i="5"/>
  <c r="D212" i="5" s="1"/>
  <c r="I139" i="5"/>
  <c r="J147" i="5"/>
  <c r="D226" i="5" s="1"/>
  <c r="K91" i="5"/>
  <c r="F170" i="5" s="1"/>
  <c r="K110" i="5"/>
  <c r="K119" i="5"/>
  <c r="K121" i="5"/>
  <c r="F200" i="5" s="1"/>
  <c r="K127" i="5"/>
  <c r="F206" i="5" s="1"/>
  <c r="I143" i="5"/>
  <c r="I147" i="5"/>
  <c r="K103" i="5"/>
  <c r="F182" i="5" s="1"/>
  <c r="I129" i="5"/>
  <c r="K133" i="5"/>
  <c r="J139" i="5"/>
  <c r="D218" i="5" s="1"/>
  <c r="K129" i="5"/>
  <c r="K147" i="5"/>
  <c r="F226" i="5" s="1"/>
  <c r="K149" i="5"/>
  <c r="I135" i="5"/>
  <c r="H6" i="12"/>
  <c r="H33" i="11"/>
  <c r="I33" i="11" s="1"/>
  <c r="I6" i="12"/>
  <c r="O4" i="4"/>
  <c r="C16" i="4"/>
  <c r="C17" i="4"/>
  <c r="K87" i="5"/>
  <c r="F166" i="5" s="1"/>
  <c r="D96" i="5"/>
  <c r="K96" i="5" s="1"/>
  <c r="R20" i="5"/>
  <c r="R21" i="5"/>
  <c r="D97" i="5"/>
  <c r="K97" i="5" s="1"/>
  <c r="O30" i="5"/>
  <c r="H143" i="5"/>
  <c r="O2" i="10"/>
  <c r="D18" i="4"/>
  <c r="K18" i="4" s="1"/>
  <c r="P6" i="4"/>
  <c r="G18" i="4" s="1"/>
  <c r="O6" i="4"/>
  <c r="D20" i="4"/>
  <c r="M76" i="5"/>
  <c r="L82" i="5"/>
  <c r="D88" i="5"/>
  <c r="K88" i="5" s="1"/>
  <c r="R12" i="5"/>
  <c r="R13" i="5"/>
  <c r="D89" i="5"/>
  <c r="K89" i="5" s="1"/>
  <c r="F168" i="5" s="1"/>
  <c r="O22" i="5"/>
  <c r="Q25" i="5"/>
  <c r="S28" i="5"/>
  <c r="R30" i="5"/>
  <c r="H118" i="5"/>
  <c r="H134" i="5"/>
  <c r="T58" i="5"/>
  <c r="J132" i="5"/>
  <c r="D211" i="5" s="1"/>
  <c r="G43" i="10"/>
  <c r="P4" i="4"/>
  <c r="G16" i="4" s="1"/>
  <c r="D16" i="4"/>
  <c r="K16" i="4" s="1"/>
  <c r="D29" i="4" s="1"/>
  <c r="S23" i="5"/>
  <c r="E99" i="5"/>
  <c r="S15" i="5"/>
  <c r="E91" i="5"/>
  <c r="H129" i="5"/>
  <c r="I87" i="5"/>
  <c r="S53" i="5"/>
  <c r="H147" i="5"/>
  <c r="I94" i="5"/>
  <c r="D29" i="11"/>
  <c r="C47" i="10"/>
  <c r="J47" i="10" s="1"/>
  <c r="M69" i="10" s="1"/>
  <c r="N69" i="10" s="1"/>
  <c r="S13" i="10"/>
  <c r="F47" i="10" s="1"/>
  <c r="R5" i="5"/>
  <c r="D81" i="5"/>
  <c r="K81" i="5" s="1"/>
  <c r="F160" i="5" s="1"/>
  <c r="E96" i="5"/>
  <c r="S20" i="5"/>
  <c r="E50" i="10"/>
  <c r="U16" i="10"/>
  <c r="H50" i="10" s="1"/>
  <c r="S7" i="5"/>
  <c r="E83" i="5"/>
  <c r="S41" i="5"/>
  <c r="E19" i="4"/>
  <c r="J15" i="4"/>
  <c r="E2" i="4"/>
  <c r="C14" i="4" s="1"/>
  <c r="J14" i="4" s="1"/>
  <c r="E2" i="10"/>
  <c r="B36" i="10" s="1"/>
  <c r="I36" i="10" s="1"/>
  <c r="I64" i="10" s="1"/>
  <c r="O2" i="5"/>
  <c r="E76" i="5"/>
  <c r="B84" i="5"/>
  <c r="I84" i="5" s="1"/>
  <c r="O8" i="5"/>
  <c r="I89" i="5"/>
  <c r="H91" i="5"/>
  <c r="O19" i="5"/>
  <c r="C95" i="5"/>
  <c r="J95" i="5" s="1"/>
  <c r="D174" i="5" s="1"/>
  <c r="C100" i="5"/>
  <c r="J100" i="5" s="1"/>
  <c r="D179" i="5" s="1"/>
  <c r="Q24" i="5"/>
  <c r="G100" i="5" s="1"/>
  <c r="Q26" i="5"/>
  <c r="G102" i="5" s="1"/>
  <c r="O26" i="5"/>
  <c r="C102" i="5"/>
  <c r="J102" i="5" s="1"/>
  <c r="D181" i="5" s="1"/>
  <c r="L115" i="5"/>
  <c r="L123" i="5"/>
  <c r="H124" i="5"/>
  <c r="H132" i="5"/>
  <c r="H136" i="5"/>
  <c r="T60" i="5"/>
  <c r="H146" i="5"/>
  <c r="B93" i="5"/>
  <c r="I93" i="5" s="1"/>
  <c r="D94" i="5"/>
  <c r="K94" i="5" s="1"/>
  <c r="F173" i="5" s="1"/>
  <c r="E136" i="5"/>
  <c r="B100" i="5"/>
  <c r="I100" i="5" s="1"/>
  <c r="O24" i="5"/>
  <c r="H121" i="5"/>
  <c r="K102" i="5"/>
  <c r="L17" i="4"/>
  <c r="S14" i="5"/>
  <c r="O27" i="5"/>
  <c r="C103" i="5"/>
  <c r="J103" i="5" s="1"/>
  <c r="D182" i="5" s="1"/>
  <c r="S37" i="5"/>
  <c r="Q4" i="4"/>
  <c r="Q5" i="4"/>
  <c r="K15" i="4"/>
  <c r="D28" i="4" s="1"/>
  <c r="I81" i="5"/>
  <c r="H83" i="5"/>
  <c r="O11" i="5"/>
  <c r="C87" i="5"/>
  <c r="J87" i="5" s="1"/>
  <c r="D166" i="5" s="1"/>
  <c r="C92" i="5"/>
  <c r="J92" i="5" s="1"/>
  <c r="D171" i="5" s="1"/>
  <c r="Q16" i="5"/>
  <c r="G92" i="5" s="1"/>
  <c r="Q18" i="5"/>
  <c r="G94" i="5" s="1"/>
  <c r="O18" i="5"/>
  <c r="C94" i="5"/>
  <c r="J94" i="5" s="1"/>
  <c r="D173" i="5" s="1"/>
  <c r="S32" i="5"/>
  <c r="S48" i="5"/>
  <c r="S52" i="5"/>
  <c r="S64" i="5"/>
  <c r="H145" i="5"/>
  <c r="J81" i="5"/>
  <c r="D160" i="5" s="1"/>
  <c r="I86" i="5"/>
  <c r="H149" i="5"/>
  <c r="G55" i="10"/>
  <c r="H137" i="5"/>
  <c r="S66" i="5"/>
  <c r="B101" i="5"/>
  <c r="I101" i="5" s="1"/>
  <c r="P2" i="4"/>
  <c r="G14" i="4" s="1"/>
  <c r="B92" i="5"/>
  <c r="I92" i="5" s="1"/>
  <c r="O16" i="5"/>
  <c r="S33" i="5"/>
  <c r="S45" i="5"/>
  <c r="S49" i="5"/>
  <c r="J89" i="5"/>
  <c r="D168" i="5" s="1"/>
  <c r="C84" i="5"/>
  <c r="J84" i="5" s="1"/>
  <c r="D163" i="5" s="1"/>
  <c r="Q8" i="5"/>
  <c r="G84" i="5" s="1"/>
  <c r="Q10" i="5"/>
  <c r="G86" i="5" s="1"/>
  <c r="O10" i="5"/>
  <c r="C86" i="5"/>
  <c r="J86" i="5" s="1"/>
  <c r="D165" i="5" s="1"/>
  <c r="K95" i="5"/>
  <c r="F174" i="5" s="1"/>
  <c r="L98" i="5"/>
  <c r="D104" i="5"/>
  <c r="K104" i="5" s="1"/>
  <c r="R28" i="5"/>
  <c r="R29" i="5"/>
  <c r="D105" i="5"/>
  <c r="K105" i="5" s="1"/>
  <c r="H107" i="5"/>
  <c r="I113" i="5"/>
  <c r="H115" i="5"/>
  <c r="H119" i="5"/>
  <c r="H123" i="5"/>
  <c r="H135" i="5"/>
  <c r="H144" i="5"/>
  <c r="I76" i="5"/>
  <c r="B85" i="5"/>
  <c r="I85" i="5" s="1"/>
  <c r="D86" i="5"/>
  <c r="K86" i="5" s="1"/>
  <c r="F22" i="11"/>
  <c r="D52" i="10"/>
  <c r="K52" i="10" s="1"/>
  <c r="T18" i="10"/>
  <c r="Q18" i="10"/>
  <c r="Q6" i="5"/>
  <c r="G82" i="5" s="1"/>
  <c r="R11" i="5"/>
  <c r="Q14" i="5"/>
  <c r="G90" i="5" s="1"/>
  <c r="R19" i="5"/>
  <c r="Q22" i="5"/>
  <c r="G98" i="5" s="1"/>
  <c r="R27" i="5"/>
  <c r="Q30" i="5"/>
  <c r="G106" i="5" s="1"/>
  <c r="Q32" i="5"/>
  <c r="G108" i="5" s="1"/>
  <c r="Q33" i="5"/>
  <c r="G109" i="5" s="1"/>
  <c r="Q34" i="5"/>
  <c r="G110" i="5" s="1"/>
  <c r="Q35" i="5"/>
  <c r="G111" i="5" s="1"/>
  <c r="Q38" i="5"/>
  <c r="G114" i="5" s="1"/>
  <c r="Q39" i="5"/>
  <c r="G115" i="5" s="1"/>
  <c r="Q41" i="5"/>
  <c r="G117" i="5" s="1"/>
  <c r="Q42" i="5"/>
  <c r="G118" i="5" s="1"/>
  <c r="Q43" i="5"/>
  <c r="G119" i="5" s="1"/>
  <c r="Q44" i="5"/>
  <c r="G120" i="5" s="1"/>
  <c r="Q46" i="5"/>
  <c r="G122" i="5" s="1"/>
  <c r="Q49" i="5"/>
  <c r="G125" i="5" s="1"/>
  <c r="Q50" i="5"/>
  <c r="G126" i="5" s="1"/>
  <c r="Q51" i="5"/>
  <c r="G127" i="5" s="1"/>
  <c r="Q52" i="5"/>
  <c r="G128" i="5" s="1"/>
  <c r="Q54" i="5"/>
  <c r="G130" i="5" s="1"/>
  <c r="Q57" i="5"/>
  <c r="G133" i="5" s="1"/>
  <c r="Q58" i="5"/>
  <c r="G134" i="5" s="1"/>
  <c r="Q59" i="5"/>
  <c r="G135" i="5" s="1"/>
  <c r="Q60" i="5"/>
  <c r="G136" i="5" s="1"/>
  <c r="Q61" i="5"/>
  <c r="G137" i="5" s="1"/>
  <c r="Q62" i="5"/>
  <c r="G138" i="5" s="1"/>
  <c r="Q63" i="5"/>
  <c r="G139" i="5" s="1"/>
  <c r="Q64" i="5"/>
  <c r="G140" i="5" s="1"/>
  <c r="Q65" i="5"/>
  <c r="G141" i="5" s="1"/>
  <c r="B83" i="5"/>
  <c r="I83" i="5" s="1"/>
  <c r="B91" i="5"/>
  <c r="I91" i="5" s="1"/>
  <c r="B99" i="5"/>
  <c r="I99" i="5" s="1"/>
  <c r="E18" i="11"/>
  <c r="C18" i="11"/>
  <c r="Q8" i="10"/>
  <c r="B42" i="10"/>
  <c r="I42" i="10" s="1"/>
  <c r="E25" i="11"/>
  <c r="C25" i="11"/>
  <c r="B43" i="10"/>
  <c r="I43" i="10" s="1"/>
  <c r="K15" i="12"/>
  <c r="J15" i="12"/>
  <c r="F21" i="11"/>
  <c r="D51" i="10"/>
  <c r="K51" i="10" s="1"/>
  <c r="T17" i="10"/>
  <c r="S21" i="10"/>
  <c r="F55" i="10" s="1"/>
  <c r="D56" i="10"/>
  <c r="K56" i="10" s="1"/>
  <c r="F8" i="11"/>
  <c r="T22" i="10"/>
  <c r="D11" i="11"/>
  <c r="C59" i="10"/>
  <c r="J59" i="10" s="1"/>
  <c r="S25" i="10"/>
  <c r="F59" i="10" s="1"/>
  <c r="Q25" i="10"/>
  <c r="F15" i="11"/>
  <c r="T5" i="10"/>
  <c r="D19" i="11"/>
  <c r="C49" i="10"/>
  <c r="J49" i="10" s="1"/>
  <c r="S15" i="10"/>
  <c r="F49" i="10" s="1"/>
  <c r="R2" i="5"/>
  <c r="T67" i="5" s="1"/>
  <c r="G38" i="10"/>
  <c r="B57" i="10"/>
  <c r="I57" i="10" s="1"/>
  <c r="E9" i="11"/>
  <c r="C9" i="11"/>
  <c r="T23" i="10"/>
  <c r="D92" i="11"/>
  <c r="F7" i="15"/>
  <c r="C25" i="15" s="1"/>
  <c r="J25" i="15" s="1"/>
  <c r="E7" i="15"/>
  <c r="B25" i="15" s="1"/>
  <c r="I25" i="15" s="1"/>
  <c r="F14" i="15"/>
  <c r="C32" i="15" s="1"/>
  <c r="J32" i="15" s="1"/>
  <c r="E14" i="15"/>
  <c r="B32" i="15" s="1"/>
  <c r="I32" i="15" s="1"/>
  <c r="C20" i="11"/>
  <c r="E20" i="11"/>
  <c r="B50" i="10"/>
  <c r="I50" i="10" s="1"/>
  <c r="O3" i="5"/>
  <c r="O5" i="5"/>
  <c r="O13" i="5"/>
  <c r="O21" i="5"/>
  <c r="O29" i="5"/>
  <c r="I124" i="5"/>
  <c r="I132" i="5"/>
  <c r="I138" i="5"/>
  <c r="I140" i="5"/>
  <c r="C16" i="11"/>
  <c r="E16" i="11"/>
  <c r="B40" i="10"/>
  <c r="I40" i="10" s="1"/>
  <c r="Q6" i="10"/>
  <c r="E23" i="11"/>
  <c r="C23" i="11"/>
  <c r="B53" i="10"/>
  <c r="I53" i="10" s="1"/>
  <c r="T19" i="10"/>
  <c r="S19" i="10"/>
  <c r="F53" i="10" s="1"/>
  <c r="U23" i="10"/>
  <c r="H57" i="10" s="1"/>
  <c r="C12" i="11"/>
  <c r="E12" i="11"/>
  <c r="B60" i="10"/>
  <c r="I60" i="10" s="1"/>
  <c r="Q26" i="10"/>
  <c r="J2" i="15"/>
  <c r="E20" i="15" s="1"/>
  <c r="L20" i="15" s="1"/>
  <c r="N3" i="15"/>
  <c r="G21" i="15" s="1"/>
  <c r="N21" i="15" s="1"/>
  <c r="M3" i="15"/>
  <c r="F21" i="15" s="1"/>
  <c r="M21" i="15" s="1"/>
  <c r="C6" i="11"/>
  <c r="E6" i="11"/>
  <c r="E51" i="10"/>
  <c r="U17" i="10"/>
  <c r="H51" i="10" s="1"/>
  <c r="F10" i="11"/>
  <c r="T24" i="10"/>
  <c r="M64" i="10"/>
  <c r="N64" i="10" s="1"/>
  <c r="K2" i="10"/>
  <c r="Q5" i="5"/>
  <c r="Q13" i="5"/>
  <c r="G89" i="5" s="1"/>
  <c r="Q21" i="5"/>
  <c r="G97" i="5" s="1"/>
  <c r="Q29" i="5"/>
  <c r="G105" i="5" s="1"/>
  <c r="J114" i="5"/>
  <c r="D14" i="11"/>
  <c r="C38" i="10"/>
  <c r="J38" i="10" s="1"/>
  <c r="F17" i="11"/>
  <c r="D41" i="10"/>
  <c r="K41" i="10" s="1"/>
  <c r="T7" i="10"/>
  <c r="Q9" i="10"/>
  <c r="F19" i="11"/>
  <c r="D49" i="10"/>
  <c r="K49" i="10" s="1"/>
  <c r="T15" i="10"/>
  <c r="U19" i="10"/>
  <c r="H53" i="10" s="1"/>
  <c r="S23" i="10"/>
  <c r="F57" i="10" s="1"/>
  <c r="D9" i="11"/>
  <c r="C57" i="10"/>
  <c r="J57" i="10" s="1"/>
  <c r="Q24" i="10"/>
  <c r="E13" i="15"/>
  <c r="B31" i="15" s="1"/>
  <c r="I31" i="15" s="1"/>
  <c r="F13" i="15"/>
  <c r="C31" i="15" s="1"/>
  <c r="J31" i="15" s="1"/>
  <c r="D18" i="11"/>
  <c r="C42" i="10"/>
  <c r="J42" i="10" s="1"/>
  <c r="S8" i="10"/>
  <c r="F42" i="10" s="1"/>
  <c r="T16" i="10"/>
  <c r="D59" i="10"/>
  <c r="K59" i="10" s="1"/>
  <c r="F11" i="11"/>
  <c r="T25" i="10"/>
  <c r="M2" i="15"/>
  <c r="F20" i="15" s="1"/>
  <c r="M20" i="15" s="1"/>
  <c r="N2" i="10"/>
  <c r="D36" i="10" s="1"/>
  <c r="K36" i="10" s="1"/>
  <c r="Q3" i="5"/>
  <c r="L120" i="5"/>
  <c r="L125" i="5"/>
  <c r="L128" i="5"/>
  <c r="L137" i="5"/>
  <c r="D16" i="11"/>
  <c r="C40" i="10"/>
  <c r="J40" i="10" s="1"/>
  <c r="G42" i="10"/>
  <c r="K13" i="12"/>
  <c r="J13" i="12"/>
  <c r="F26" i="11"/>
  <c r="D44" i="10"/>
  <c r="K44" i="10" s="1"/>
  <c r="T10" i="10"/>
  <c r="C30" i="11"/>
  <c r="B48" i="10"/>
  <c r="I48" i="10" s="1"/>
  <c r="T14" i="10"/>
  <c r="Q14" i="10"/>
  <c r="E7" i="11"/>
  <c r="J14" i="15"/>
  <c r="E32" i="15" s="1"/>
  <c r="L32" i="15" s="1"/>
  <c r="I14" i="15"/>
  <c r="D32" i="15" s="1"/>
  <c r="K32" i="15" s="1"/>
  <c r="E17" i="11"/>
  <c r="C17" i="11"/>
  <c r="Q7" i="10"/>
  <c r="D25" i="11"/>
  <c r="C43" i="10"/>
  <c r="J43" i="10" s="1"/>
  <c r="E26" i="11"/>
  <c r="C26" i="11"/>
  <c r="S10" i="10"/>
  <c r="F44" i="10" s="1"/>
  <c r="D30" i="11"/>
  <c r="C48" i="10"/>
  <c r="J48" i="10" s="1"/>
  <c r="C50" i="10"/>
  <c r="J50" i="10" s="1"/>
  <c r="D20" i="11"/>
  <c r="S16" i="10"/>
  <c r="F50" i="10" s="1"/>
  <c r="E21" i="11"/>
  <c r="C21" i="11"/>
  <c r="E8" i="11"/>
  <c r="C8" i="11"/>
  <c r="B56" i="10"/>
  <c r="I56" i="10" s="1"/>
  <c r="Q22" i="10"/>
  <c r="C10" i="11"/>
  <c r="E10" i="11"/>
  <c r="D42" i="10"/>
  <c r="K42" i="10" s="1"/>
  <c r="B51" i="10"/>
  <c r="I51" i="10" s="1"/>
  <c r="N8" i="15"/>
  <c r="G26" i="15" s="1"/>
  <c r="N26" i="15" s="1"/>
  <c r="M8" i="15"/>
  <c r="F26" i="15" s="1"/>
  <c r="M26" i="15" s="1"/>
  <c r="J13" i="15"/>
  <c r="E31" i="15" s="1"/>
  <c r="L31" i="15" s="1"/>
  <c r="I13" i="15"/>
  <c r="D31" i="15" s="1"/>
  <c r="K31" i="15" s="1"/>
  <c r="C13" i="11"/>
  <c r="E13" i="11"/>
  <c r="B37" i="10"/>
  <c r="I37" i="10" s="1"/>
  <c r="T3" i="10"/>
  <c r="Q3" i="10"/>
  <c r="S5" i="10"/>
  <c r="F39" i="10" s="1"/>
  <c r="J9" i="10"/>
  <c r="K9" i="10" s="1"/>
  <c r="D28" i="11"/>
  <c r="C46" i="10"/>
  <c r="J46" i="10" s="1"/>
  <c r="S22" i="10"/>
  <c r="F56" i="10" s="1"/>
  <c r="F9" i="11"/>
  <c r="D57" i="10"/>
  <c r="K57" i="10" s="1"/>
  <c r="F12" i="11"/>
  <c r="D60" i="10"/>
  <c r="K60" i="10" s="1"/>
  <c r="T26" i="10"/>
  <c r="T30" i="10"/>
  <c r="B41" i="10"/>
  <c r="I41" i="10" s="1"/>
  <c r="C51" i="10"/>
  <c r="J51" i="10" s="1"/>
  <c r="J12" i="15"/>
  <c r="E30" i="15" s="1"/>
  <c r="L30" i="15" s="1"/>
  <c r="I12" i="15"/>
  <c r="D30" i="15" s="1"/>
  <c r="K30" i="15" s="1"/>
  <c r="S3" i="10"/>
  <c r="F37" i="10" s="1"/>
  <c r="D17" i="11"/>
  <c r="C41" i="10"/>
  <c r="J41" i="10" s="1"/>
  <c r="S7" i="10"/>
  <c r="F41" i="10" s="1"/>
  <c r="K8" i="12" s="1"/>
  <c r="D43" i="10"/>
  <c r="K43" i="10" s="1"/>
  <c r="F25" i="11"/>
  <c r="E19" i="11"/>
  <c r="B49" i="10"/>
  <c r="I49" i="10" s="1"/>
  <c r="Q15" i="10"/>
  <c r="F20" i="11"/>
  <c r="D50" i="10"/>
  <c r="K50" i="10" s="1"/>
  <c r="E22" i="11"/>
  <c r="B52" i="10"/>
  <c r="I52" i="10" s="1"/>
  <c r="S18" i="10"/>
  <c r="F52" i="10" s="1"/>
  <c r="D55" i="10"/>
  <c r="K55" i="10" s="1"/>
  <c r="F7" i="11"/>
  <c r="D8" i="11"/>
  <c r="C56" i="10"/>
  <c r="J56" i="10" s="1"/>
  <c r="M75" i="10" s="1"/>
  <c r="N75" i="10" s="1"/>
  <c r="D10" i="11"/>
  <c r="C58" i="10"/>
  <c r="J58" i="10" s="1"/>
  <c r="S24" i="10"/>
  <c r="F58" i="10" s="1"/>
  <c r="C11" i="11"/>
  <c r="E11" i="11"/>
  <c r="B59" i="10"/>
  <c r="I59" i="10" s="1"/>
  <c r="F9" i="15"/>
  <c r="C27" i="15" s="1"/>
  <c r="J27" i="15" s="1"/>
  <c r="E9" i="15"/>
  <c r="B27" i="15" s="1"/>
  <c r="I27" i="15" s="1"/>
  <c r="E5" i="11"/>
  <c r="C27" i="11"/>
  <c r="E27" i="11"/>
  <c r="B45" i="10"/>
  <c r="I45" i="10" s="1"/>
  <c r="T11" i="10"/>
  <c r="Q11" i="10"/>
  <c r="F30" i="11"/>
  <c r="D48" i="10"/>
  <c r="K48" i="10" s="1"/>
  <c r="D24" i="11"/>
  <c r="C54" i="10"/>
  <c r="J54" i="10" s="1"/>
  <c r="Q30" i="10"/>
  <c r="U30" i="10" s="1"/>
  <c r="D40" i="10"/>
  <c r="K40" i="10" s="1"/>
  <c r="B44" i="10"/>
  <c r="I44" i="10" s="1"/>
  <c r="J3" i="15"/>
  <c r="E21" i="15" s="1"/>
  <c r="L21" i="15" s="1"/>
  <c r="I3" i="15"/>
  <c r="D21" i="15" s="1"/>
  <c r="K21" i="15" s="1"/>
  <c r="F8" i="15"/>
  <c r="C26" i="15" s="1"/>
  <c r="J26" i="15" s="1"/>
  <c r="E8" i="15"/>
  <c r="B26" i="15" s="1"/>
  <c r="I26" i="15" s="1"/>
  <c r="E15" i="11"/>
  <c r="Q5" i="10"/>
  <c r="E29" i="11"/>
  <c r="C29" i="11"/>
  <c r="B47" i="10"/>
  <c r="I47" i="10" s="1"/>
  <c r="Q13" i="10"/>
  <c r="B55" i="10"/>
  <c r="I55" i="10" s="1"/>
  <c r="Q21" i="10"/>
  <c r="D37" i="10"/>
  <c r="K37" i="10" s="1"/>
  <c r="B39" i="10"/>
  <c r="I39" i="10" s="1"/>
  <c r="H5" i="12"/>
  <c r="E14" i="11"/>
  <c r="C14" i="11"/>
  <c r="Q4" i="10"/>
  <c r="F27" i="11"/>
  <c r="D45" i="10"/>
  <c r="K45" i="10" s="1"/>
  <c r="E28" i="11"/>
  <c r="C28" i="11"/>
  <c r="Q12" i="10"/>
  <c r="F23" i="11"/>
  <c r="D53" i="10"/>
  <c r="K53" i="10" s="1"/>
  <c r="E24" i="11"/>
  <c r="C24" i="11"/>
  <c r="Q20" i="10"/>
  <c r="B38" i="10"/>
  <c r="I38" i="10" s="1"/>
  <c r="F6" i="15"/>
  <c r="C24" i="15" s="1"/>
  <c r="J24" i="15" s="1"/>
  <c r="E6" i="15"/>
  <c r="B24" i="15" s="1"/>
  <c r="I24" i="15" s="1"/>
  <c r="J11" i="15"/>
  <c r="E29" i="15" s="1"/>
  <c r="L29" i="15" s="1"/>
  <c r="I11" i="15"/>
  <c r="D29" i="15" s="1"/>
  <c r="K29" i="15" s="1"/>
  <c r="C15" i="11"/>
  <c r="C45" i="10"/>
  <c r="J45" i="10" s="1"/>
  <c r="C52" i="10"/>
  <c r="J52" i="10" s="1"/>
  <c r="J6" i="15"/>
  <c r="E24" i="15" s="1"/>
  <c r="L24" i="15" s="1"/>
  <c r="I6" i="15"/>
  <c r="D24" i="15" s="1"/>
  <c r="K24" i="15" s="1"/>
  <c r="N11" i="15"/>
  <c r="G29" i="15" s="1"/>
  <c r="N29" i="15" s="1"/>
  <c r="M11" i="15"/>
  <c r="F29" i="15" s="1"/>
  <c r="M29" i="15" s="1"/>
  <c r="C7" i="11"/>
  <c r="I4" i="12"/>
  <c r="H4" i="12"/>
  <c r="I14" i="12"/>
  <c r="H14" i="12"/>
  <c r="J5" i="15"/>
  <c r="E23" i="15" s="1"/>
  <c r="L23" i="15" s="1"/>
  <c r="I5" i="15"/>
  <c r="D23" i="15" s="1"/>
  <c r="K23" i="15" s="1"/>
  <c r="N10" i="15"/>
  <c r="G28" i="15" s="1"/>
  <c r="N28" i="15" s="1"/>
  <c r="M10" i="15"/>
  <c r="F28" i="15" s="1"/>
  <c r="M28" i="15" s="1"/>
  <c r="I8" i="12"/>
  <c r="H8" i="12"/>
  <c r="H10" i="12"/>
  <c r="N4" i="15"/>
  <c r="G22" i="15" s="1"/>
  <c r="N22" i="15" s="1"/>
  <c r="M4" i="15"/>
  <c r="F22" i="15" s="1"/>
  <c r="M22" i="15" s="1"/>
  <c r="J7" i="15"/>
  <c r="E25" i="15" s="1"/>
  <c r="L25" i="15" s="1"/>
  <c r="I7" i="15"/>
  <c r="D25" i="15" s="1"/>
  <c r="K25" i="15" s="1"/>
  <c r="F10" i="15"/>
  <c r="C28" i="15" s="1"/>
  <c r="J28" i="15" s="1"/>
  <c r="E10" i="15"/>
  <c r="B28" i="15" s="1"/>
  <c r="I28" i="15" s="1"/>
  <c r="N12" i="15"/>
  <c r="G30" i="15" s="1"/>
  <c r="N30" i="15" s="1"/>
  <c r="M12" i="15"/>
  <c r="F30" i="15" s="1"/>
  <c r="M30" i="15" s="1"/>
  <c r="I11" i="12"/>
  <c r="H11" i="12"/>
  <c r="F4" i="15"/>
  <c r="C22" i="15" s="1"/>
  <c r="J22" i="15" s="1"/>
  <c r="E4" i="15"/>
  <c r="B22" i="15" s="1"/>
  <c r="I22" i="15" s="1"/>
  <c r="N6" i="15"/>
  <c r="G24" i="15" s="1"/>
  <c r="N24" i="15" s="1"/>
  <c r="M6" i="15"/>
  <c r="F24" i="15" s="1"/>
  <c r="M24" i="15" s="1"/>
  <c r="J9" i="15"/>
  <c r="E27" i="15" s="1"/>
  <c r="L27" i="15" s="1"/>
  <c r="I9" i="15"/>
  <c r="D27" i="15" s="1"/>
  <c r="K27" i="15" s="1"/>
  <c r="F12" i="15"/>
  <c r="C30" i="15" s="1"/>
  <c r="J30" i="15" s="1"/>
  <c r="E12" i="15"/>
  <c r="B30" i="15" s="1"/>
  <c r="I30" i="15" s="1"/>
  <c r="N14" i="15"/>
  <c r="G32" i="15" s="1"/>
  <c r="N32" i="15" s="1"/>
  <c r="M14" i="15"/>
  <c r="F32" i="15" s="1"/>
  <c r="M32" i="15" s="1"/>
  <c r="H31" i="11"/>
  <c r="I31" i="11" s="1"/>
  <c r="H32" i="11"/>
  <c r="I32" i="11" s="1"/>
  <c r="I7" i="12"/>
  <c r="H7" i="12"/>
  <c r="I9" i="12"/>
  <c r="H9" i="12"/>
  <c r="I13" i="12"/>
  <c r="H13" i="12"/>
  <c r="I15" i="12"/>
  <c r="H15" i="12"/>
  <c r="I10" i="12"/>
  <c r="H12" i="12"/>
  <c r="I12" i="12"/>
  <c r="K12" i="12" l="1"/>
  <c r="H15" i="11"/>
  <c r="I15" i="11" s="1"/>
  <c r="S38" i="5"/>
  <c r="L68" i="10"/>
  <c r="M67" i="10"/>
  <c r="N67" i="10" s="1"/>
  <c r="L74" i="10"/>
  <c r="C220" i="5"/>
  <c r="E190" i="5"/>
  <c r="U10" i="10"/>
  <c r="H44" i="10" s="1"/>
  <c r="S12" i="5"/>
  <c r="G92" i="11"/>
  <c r="I92" i="11" s="1"/>
  <c r="K92" i="11" s="1"/>
  <c r="C184" i="5"/>
  <c r="J12" i="12"/>
  <c r="B184" i="5"/>
  <c r="B196" i="5"/>
  <c r="C190" i="5"/>
  <c r="E196" i="5"/>
  <c r="E216" i="5"/>
  <c r="L90" i="5"/>
  <c r="C230" i="5"/>
  <c r="H230" i="5" s="1"/>
  <c r="I230" i="5" s="1"/>
  <c r="E183" i="5"/>
  <c r="L117" i="5"/>
  <c r="L151" i="5"/>
  <c r="E230" i="5"/>
  <c r="B201" i="5"/>
  <c r="E201" i="5"/>
  <c r="E187" i="5"/>
  <c r="E169" i="5"/>
  <c r="H169" i="5" s="1"/>
  <c r="I169" i="5" s="1"/>
  <c r="B193" i="5"/>
  <c r="L122" i="5"/>
  <c r="E177" i="5"/>
  <c r="L39" i="10"/>
  <c r="L60" i="10"/>
  <c r="C92" i="11"/>
  <c r="T68" i="5"/>
  <c r="C183" i="5"/>
  <c r="B183" i="5"/>
  <c r="L106" i="5"/>
  <c r="S71" i="5"/>
  <c r="S65" i="5"/>
  <c r="S17" i="5"/>
  <c r="L111" i="5"/>
  <c r="E20" i="4"/>
  <c r="L54" i="10"/>
  <c r="F2" i="15"/>
  <c r="C20" i="15" s="1"/>
  <c r="J20" i="15" s="1"/>
  <c r="B20" i="15"/>
  <c r="I20" i="15" s="1"/>
  <c r="N32" i="10"/>
  <c r="F35" i="11" s="1"/>
  <c r="O79" i="10"/>
  <c r="L52" i="10"/>
  <c r="L40" i="10"/>
  <c r="M70" i="10"/>
  <c r="N70" i="10" s="1"/>
  <c r="L67" i="10"/>
  <c r="L48" i="10"/>
  <c r="L41" i="10"/>
  <c r="H5" i="11"/>
  <c r="I5" i="11" s="1"/>
  <c r="K23" i="4"/>
  <c r="K24" i="4" s="1"/>
  <c r="D30" i="4"/>
  <c r="L23" i="4"/>
  <c r="L24" i="4" s="1"/>
  <c r="F30" i="4"/>
  <c r="M18" i="4"/>
  <c r="D31" i="4"/>
  <c r="F15" i="4"/>
  <c r="O5" i="4"/>
  <c r="F17" i="4" s="1"/>
  <c r="L21" i="4"/>
  <c r="L22" i="4" s="1"/>
  <c r="F28" i="4"/>
  <c r="E31" i="4"/>
  <c r="M14" i="4"/>
  <c r="C28" i="4"/>
  <c r="B28" i="4"/>
  <c r="E28" i="4"/>
  <c r="L116" i="5"/>
  <c r="H207" i="5"/>
  <c r="I207" i="5" s="1"/>
  <c r="L109" i="5"/>
  <c r="H185" i="5"/>
  <c r="I185" i="5" s="1"/>
  <c r="E224" i="5"/>
  <c r="H224" i="5" s="1"/>
  <c r="I224" i="5" s="1"/>
  <c r="H199" i="5"/>
  <c r="I199" i="5" s="1"/>
  <c r="H194" i="5"/>
  <c r="I194" i="5" s="1"/>
  <c r="H204" i="5"/>
  <c r="I204" i="5" s="1"/>
  <c r="L150" i="5"/>
  <c r="H190" i="5"/>
  <c r="I190" i="5" s="1"/>
  <c r="E220" i="5"/>
  <c r="L113" i="5"/>
  <c r="D192" i="5"/>
  <c r="L112" i="5"/>
  <c r="D191" i="5"/>
  <c r="D186" i="5"/>
  <c r="E186" i="5"/>
  <c r="L144" i="5"/>
  <c r="D223" i="5"/>
  <c r="D210" i="5"/>
  <c r="L131" i="5"/>
  <c r="L97" i="5"/>
  <c r="F176" i="5"/>
  <c r="E213" i="5"/>
  <c r="C213" i="5"/>
  <c r="B213" i="5"/>
  <c r="C227" i="5"/>
  <c r="B227" i="5"/>
  <c r="E227" i="5"/>
  <c r="E198" i="5"/>
  <c r="B198" i="5"/>
  <c r="C198" i="5"/>
  <c r="B170" i="5"/>
  <c r="C170" i="5"/>
  <c r="E170" i="5"/>
  <c r="L105" i="5"/>
  <c r="F184" i="5"/>
  <c r="L147" i="5"/>
  <c r="S6" i="5"/>
  <c r="S73" i="5"/>
  <c r="E214" i="5"/>
  <c r="B214" i="5"/>
  <c r="C214" i="5"/>
  <c r="L110" i="5"/>
  <c r="F189" i="5"/>
  <c r="L134" i="5"/>
  <c r="F213" i="5"/>
  <c r="E181" i="5"/>
  <c r="B181" i="5"/>
  <c r="C181" i="5"/>
  <c r="E175" i="5"/>
  <c r="C175" i="5"/>
  <c r="B175" i="5"/>
  <c r="H201" i="5"/>
  <c r="I201" i="5" s="1"/>
  <c r="H209" i="5"/>
  <c r="I209" i="5" s="1"/>
  <c r="E195" i="5"/>
  <c r="E165" i="5"/>
  <c r="B165" i="5"/>
  <c r="C165" i="5"/>
  <c r="L99" i="5"/>
  <c r="B178" i="5"/>
  <c r="C178" i="5"/>
  <c r="E178" i="5"/>
  <c r="E160" i="5"/>
  <c r="C160" i="5"/>
  <c r="B160" i="5"/>
  <c r="L102" i="5"/>
  <c r="F181" i="5"/>
  <c r="B163" i="5"/>
  <c r="C163" i="5"/>
  <c r="E163" i="5"/>
  <c r="L119" i="5"/>
  <c r="F198" i="5"/>
  <c r="E215" i="5"/>
  <c r="C215" i="5"/>
  <c r="B215" i="5"/>
  <c r="E176" i="5"/>
  <c r="C176" i="5"/>
  <c r="B176" i="5"/>
  <c r="H195" i="5"/>
  <c r="I195" i="5" s="1"/>
  <c r="L83" i="5"/>
  <c r="B162" i="5"/>
  <c r="C162" i="5"/>
  <c r="E162" i="5"/>
  <c r="L139" i="5"/>
  <c r="T57" i="5"/>
  <c r="L107" i="5"/>
  <c r="L149" i="5"/>
  <c r="F228" i="5"/>
  <c r="H228" i="5" s="1"/>
  <c r="I228" i="5" s="1"/>
  <c r="B226" i="5"/>
  <c r="C226" i="5"/>
  <c r="E226" i="5"/>
  <c r="E212" i="5"/>
  <c r="B212" i="5"/>
  <c r="C212" i="5"/>
  <c r="E38" i="11"/>
  <c r="S51" i="5"/>
  <c r="E167" i="5"/>
  <c r="B167" i="5"/>
  <c r="C167" i="5"/>
  <c r="H177" i="5"/>
  <c r="I177" i="5" s="1"/>
  <c r="C211" i="5"/>
  <c r="E211" i="5"/>
  <c r="B211" i="5"/>
  <c r="L148" i="5"/>
  <c r="L114" i="5"/>
  <c r="D193" i="5"/>
  <c r="L86" i="5"/>
  <c r="F165" i="5"/>
  <c r="C171" i="5"/>
  <c r="B171" i="5"/>
  <c r="E171" i="5"/>
  <c r="L136" i="5"/>
  <c r="L88" i="5"/>
  <c r="F167" i="5"/>
  <c r="L96" i="5"/>
  <c r="F175" i="5"/>
  <c r="L143" i="5"/>
  <c r="E222" i="5"/>
  <c r="B222" i="5"/>
  <c r="C222" i="5"/>
  <c r="B210" i="5"/>
  <c r="C210" i="5"/>
  <c r="E210" i="5"/>
  <c r="H189" i="5"/>
  <c r="I189" i="5" s="1"/>
  <c r="E208" i="5"/>
  <c r="B208" i="5"/>
  <c r="C208" i="5"/>
  <c r="L140" i="5"/>
  <c r="C219" i="5"/>
  <c r="E219" i="5"/>
  <c r="B219" i="5"/>
  <c r="L85" i="5"/>
  <c r="E164" i="5"/>
  <c r="B164" i="5"/>
  <c r="C164" i="5"/>
  <c r="L104" i="5"/>
  <c r="F183" i="5"/>
  <c r="S44" i="5"/>
  <c r="E168" i="5"/>
  <c r="B168" i="5"/>
  <c r="C168" i="5"/>
  <c r="E173" i="5"/>
  <c r="B173" i="5"/>
  <c r="C173" i="5"/>
  <c r="L129" i="5"/>
  <c r="F208" i="5"/>
  <c r="B218" i="5"/>
  <c r="C218" i="5"/>
  <c r="E218" i="5"/>
  <c r="L108" i="5"/>
  <c r="F187" i="5"/>
  <c r="H187" i="5" s="1"/>
  <c r="I187" i="5" s="1"/>
  <c r="E221" i="5"/>
  <c r="C221" i="5"/>
  <c r="B221" i="5"/>
  <c r="D38" i="11"/>
  <c r="D202" i="5"/>
  <c r="H202" i="5" s="1"/>
  <c r="I202" i="5" s="1"/>
  <c r="S35" i="5"/>
  <c r="F38" i="11"/>
  <c r="F203" i="5"/>
  <c r="D39" i="11"/>
  <c r="D203" i="5"/>
  <c r="E197" i="5"/>
  <c r="B197" i="5"/>
  <c r="C197" i="5"/>
  <c r="E174" i="5"/>
  <c r="H174" i="5" s="1"/>
  <c r="I174" i="5" s="1"/>
  <c r="H216" i="5"/>
  <c r="I216" i="5" s="1"/>
  <c r="E193" i="5"/>
  <c r="L138" i="5"/>
  <c r="C217" i="5"/>
  <c r="E217" i="5"/>
  <c r="B217" i="5"/>
  <c r="L101" i="5"/>
  <c r="E180" i="5"/>
  <c r="B180" i="5"/>
  <c r="C180" i="5"/>
  <c r="S36" i="5"/>
  <c r="L93" i="5"/>
  <c r="E172" i="5"/>
  <c r="B172" i="5"/>
  <c r="C172" i="5"/>
  <c r="S9" i="5"/>
  <c r="G19" i="4"/>
  <c r="J16" i="12" s="1"/>
  <c r="E146" i="5"/>
  <c r="L141" i="5"/>
  <c r="F220" i="5"/>
  <c r="H220" i="5" s="1"/>
  <c r="I220" i="5" s="1"/>
  <c r="F40" i="11"/>
  <c r="F205" i="5"/>
  <c r="H205" i="5" s="1"/>
  <c r="I205" i="5" s="1"/>
  <c r="E188" i="5"/>
  <c r="B188" i="5"/>
  <c r="C188" i="5"/>
  <c r="E229" i="5"/>
  <c r="C229" i="5"/>
  <c r="B229" i="5"/>
  <c r="H161" i="5"/>
  <c r="I161" i="5" s="1"/>
  <c r="E206" i="5"/>
  <c r="B206" i="5"/>
  <c r="C206" i="5"/>
  <c r="E200" i="5"/>
  <c r="B200" i="5"/>
  <c r="C200" i="5"/>
  <c r="E116" i="5"/>
  <c r="H225" i="5"/>
  <c r="I225" i="5" s="1"/>
  <c r="C179" i="5"/>
  <c r="E179" i="5"/>
  <c r="B179" i="5"/>
  <c r="C203" i="5"/>
  <c r="E203" i="5"/>
  <c r="B203" i="5"/>
  <c r="E192" i="5"/>
  <c r="C192" i="5"/>
  <c r="B192" i="5"/>
  <c r="E166" i="5"/>
  <c r="B166" i="5"/>
  <c r="C166" i="5"/>
  <c r="L133" i="5"/>
  <c r="F212" i="5"/>
  <c r="E182" i="5"/>
  <c r="B182" i="5"/>
  <c r="C182" i="5"/>
  <c r="E223" i="5"/>
  <c r="C223" i="5"/>
  <c r="B223" i="5"/>
  <c r="E191" i="5"/>
  <c r="B191" i="5"/>
  <c r="C191" i="5"/>
  <c r="H196" i="5"/>
  <c r="I196" i="5" s="1"/>
  <c r="M15" i="4"/>
  <c r="K16" i="12"/>
  <c r="S25" i="5"/>
  <c r="T33" i="5"/>
  <c r="E138" i="5"/>
  <c r="S62" i="5"/>
  <c r="E126" i="5"/>
  <c r="S50" i="5"/>
  <c r="S69" i="5"/>
  <c r="T72" i="5"/>
  <c r="T70" i="5"/>
  <c r="E135" i="5"/>
  <c r="S59" i="5"/>
  <c r="L142" i="5"/>
  <c r="E144" i="5"/>
  <c r="S68" i="5"/>
  <c r="E118" i="5"/>
  <c r="S42" i="5"/>
  <c r="E151" i="5"/>
  <c r="S75" i="5"/>
  <c r="E139" i="5"/>
  <c r="S63" i="5"/>
  <c r="E110" i="5"/>
  <c r="S34" i="5"/>
  <c r="E115" i="5"/>
  <c r="S39" i="5"/>
  <c r="E107" i="5"/>
  <c r="S31" i="5"/>
  <c r="L124" i="5"/>
  <c r="E39" i="11"/>
  <c r="C39" i="11"/>
  <c r="B39" i="11"/>
  <c r="E134" i="5"/>
  <c r="S58" i="5"/>
  <c r="E150" i="5"/>
  <c r="S74" i="5"/>
  <c r="E123" i="5"/>
  <c r="S47" i="5"/>
  <c r="T39" i="5"/>
  <c r="S61" i="5"/>
  <c r="T40" i="5"/>
  <c r="L95" i="5"/>
  <c r="S56" i="5"/>
  <c r="D19" i="4"/>
  <c r="S57" i="5"/>
  <c r="T38" i="5"/>
  <c r="E131" i="5"/>
  <c r="S55" i="5"/>
  <c r="T34" i="5"/>
  <c r="T51" i="5"/>
  <c r="L126" i="5"/>
  <c r="T54" i="5"/>
  <c r="E148" i="5"/>
  <c r="S72" i="5"/>
  <c r="L103" i="5"/>
  <c r="L135" i="5"/>
  <c r="L84" i="5"/>
  <c r="L132" i="5"/>
  <c r="L127" i="5"/>
  <c r="L145" i="5"/>
  <c r="L91" i="5"/>
  <c r="L121" i="5"/>
  <c r="L35" i="11"/>
  <c r="L34" i="11"/>
  <c r="L36" i="11"/>
  <c r="H10" i="11"/>
  <c r="I10" i="11" s="1"/>
  <c r="C69" i="11" s="1"/>
  <c r="E69" i="11" s="1"/>
  <c r="F69" i="11" s="1"/>
  <c r="H28" i="11"/>
  <c r="I28" i="11" s="1"/>
  <c r="C87" i="11" s="1"/>
  <c r="E87" i="11" s="1"/>
  <c r="F87" i="11" s="1"/>
  <c r="H23" i="11"/>
  <c r="I23" i="11" s="1"/>
  <c r="C82" i="11" s="1"/>
  <c r="E82" i="11" s="1"/>
  <c r="F82" i="11" s="1"/>
  <c r="H6" i="11"/>
  <c r="I6" i="11" s="1"/>
  <c r="J6" i="11" s="1"/>
  <c r="E92" i="11"/>
  <c r="F92" i="11" s="1"/>
  <c r="K20" i="4"/>
  <c r="K21" i="4"/>
  <c r="K22" i="4" s="1"/>
  <c r="C74" i="11"/>
  <c r="E74" i="11" s="1"/>
  <c r="F74" i="11" s="1"/>
  <c r="J15" i="11"/>
  <c r="G74" i="11" s="1"/>
  <c r="I74" i="11" s="1"/>
  <c r="K10" i="12"/>
  <c r="J10" i="12"/>
  <c r="G101" i="5"/>
  <c r="H16" i="11"/>
  <c r="I16" i="11" s="1"/>
  <c r="G57" i="10"/>
  <c r="H97" i="5"/>
  <c r="T21" i="5"/>
  <c r="C20" i="4"/>
  <c r="J17" i="4"/>
  <c r="M17" i="4" s="1"/>
  <c r="G41" i="10"/>
  <c r="E8" i="12" s="1"/>
  <c r="E29" i="12" s="1"/>
  <c r="G53" i="10"/>
  <c r="K4" i="12"/>
  <c r="J4" i="12"/>
  <c r="E92" i="5"/>
  <c r="S16" i="5"/>
  <c r="H27" i="11"/>
  <c r="I27" i="11" s="1"/>
  <c r="Q76" i="5"/>
  <c r="J18" i="12" s="1"/>
  <c r="T8" i="5"/>
  <c r="T61" i="5"/>
  <c r="T73" i="5"/>
  <c r="T71" i="5"/>
  <c r="T53" i="5"/>
  <c r="L89" i="5"/>
  <c r="T20" i="5"/>
  <c r="H96" i="5"/>
  <c r="J16" i="4"/>
  <c r="C19" i="4"/>
  <c r="H24" i="11"/>
  <c r="I24" i="11" s="1"/>
  <c r="J74" i="10"/>
  <c r="K74" i="10" s="1"/>
  <c r="I74" i="10"/>
  <c r="H11" i="11"/>
  <c r="I11" i="11" s="1"/>
  <c r="O74" i="10"/>
  <c r="P74" i="10"/>
  <c r="Q74" i="10" s="1"/>
  <c r="L55" i="10"/>
  <c r="J71" i="10"/>
  <c r="K71" i="10" s="1"/>
  <c r="I71" i="10"/>
  <c r="J65" i="10"/>
  <c r="I65" i="10"/>
  <c r="H8" i="11"/>
  <c r="I8" i="11" s="1"/>
  <c r="M68" i="10"/>
  <c r="N68" i="10" s="1"/>
  <c r="L46" i="10"/>
  <c r="E48" i="10"/>
  <c r="U14" i="10"/>
  <c r="H48" i="10" s="1"/>
  <c r="L36" i="10"/>
  <c r="R64" i="10" s="1"/>
  <c r="O64" i="10"/>
  <c r="G49" i="10"/>
  <c r="L66" i="10"/>
  <c r="M66" i="10"/>
  <c r="N66" i="10" s="1"/>
  <c r="J8" i="12"/>
  <c r="O66" i="10"/>
  <c r="G39" i="10"/>
  <c r="L75" i="10"/>
  <c r="E42" i="10"/>
  <c r="U8" i="10"/>
  <c r="H42" i="10" s="1"/>
  <c r="T63" i="5"/>
  <c r="T47" i="5"/>
  <c r="T31" i="5"/>
  <c r="K19" i="4"/>
  <c r="T65" i="5"/>
  <c r="T64" i="5"/>
  <c r="T49" i="5"/>
  <c r="K153" i="5"/>
  <c r="K154" i="5"/>
  <c r="K155" i="5" s="1"/>
  <c r="L81" i="5"/>
  <c r="T74" i="5"/>
  <c r="H89" i="5"/>
  <c r="T13" i="5"/>
  <c r="R6" i="4"/>
  <c r="I18" i="4" s="1"/>
  <c r="F18" i="4"/>
  <c r="T75" i="5"/>
  <c r="F16" i="4"/>
  <c r="R4" i="4"/>
  <c r="O72" i="10"/>
  <c r="L50" i="10"/>
  <c r="P72" i="10"/>
  <c r="Q72" i="10" s="1"/>
  <c r="K9" i="12"/>
  <c r="J9" i="12"/>
  <c r="G44" i="10"/>
  <c r="P2" i="10"/>
  <c r="P64" i="10"/>
  <c r="Q64" i="10" s="1"/>
  <c r="P65" i="10"/>
  <c r="Q65" i="10" s="1"/>
  <c r="O65" i="10"/>
  <c r="L37" i="10"/>
  <c r="M73" i="10"/>
  <c r="N73" i="10" s="1"/>
  <c r="L73" i="10"/>
  <c r="K6" i="12"/>
  <c r="J6" i="12"/>
  <c r="M71" i="10"/>
  <c r="N71" i="10" s="1"/>
  <c r="L71" i="10"/>
  <c r="S26" i="5"/>
  <c r="E102" i="5"/>
  <c r="L45" i="10"/>
  <c r="P70" i="10"/>
  <c r="Q70" i="10" s="1"/>
  <c r="O70" i="10"/>
  <c r="H7" i="11"/>
  <c r="I7" i="11" s="1"/>
  <c r="H19" i="11"/>
  <c r="I19" i="11" s="1"/>
  <c r="K7" i="12"/>
  <c r="J7" i="12"/>
  <c r="K5" i="12"/>
  <c r="J5" i="12"/>
  <c r="I73" i="10"/>
  <c r="J73" i="10"/>
  <c r="K73" i="10" s="1"/>
  <c r="J75" i="10"/>
  <c r="K75" i="10" s="1"/>
  <c r="I75" i="10"/>
  <c r="L72" i="10"/>
  <c r="M72" i="10"/>
  <c r="N72" i="10" s="1"/>
  <c r="G48" i="10"/>
  <c r="P71" i="10"/>
  <c r="Q71" i="10" s="1"/>
  <c r="O71" i="10"/>
  <c r="L49" i="10"/>
  <c r="H12" i="11"/>
  <c r="I12" i="11" s="1"/>
  <c r="P66" i="10"/>
  <c r="Q66" i="10" s="1"/>
  <c r="J76" i="10"/>
  <c r="K76" i="10" s="1"/>
  <c r="I76" i="10"/>
  <c r="H18" i="11"/>
  <c r="I18" i="11" s="1"/>
  <c r="T27" i="5"/>
  <c r="H103" i="5"/>
  <c r="K18" i="12"/>
  <c r="J153" i="5"/>
  <c r="J154" i="5"/>
  <c r="J155" i="5" s="1"/>
  <c r="L92" i="5"/>
  <c r="H17" i="4"/>
  <c r="H20" i="4" s="1"/>
  <c r="T9" i="5"/>
  <c r="T48" i="5"/>
  <c r="T36" i="5"/>
  <c r="L100" i="5"/>
  <c r="E84" i="5"/>
  <c r="S8" i="5"/>
  <c r="H81" i="5"/>
  <c r="T5" i="5"/>
  <c r="T41" i="5"/>
  <c r="M74" i="10"/>
  <c r="N74" i="10" s="1"/>
  <c r="T62" i="5"/>
  <c r="T46" i="5"/>
  <c r="T12" i="5"/>
  <c r="H88" i="5"/>
  <c r="T3" i="5"/>
  <c r="E46" i="10"/>
  <c r="U12" i="10"/>
  <c r="H46" i="10" s="1"/>
  <c r="G50" i="10"/>
  <c r="T11" i="5"/>
  <c r="H87" i="5"/>
  <c r="E100" i="5"/>
  <c r="S24" i="5"/>
  <c r="P69" i="10"/>
  <c r="Q69" i="10" s="1"/>
  <c r="O69" i="10"/>
  <c r="L44" i="10"/>
  <c r="S18" i="5"/>
  <c r="E94" i="5"/>
  <c r="R76" i="5"/>
  <c r="D91" i="11"/>
  <c r="C91" i="11"/>
  <c r="G91" i="11"/>
  <c r="I91" i="11" s="1"/>
  <c r="K91" i="11" s="1"/>
  <c r="U13" i="10"/>
  <c r="H47" i="10" s="1"/>
  <c r="M14" i="12" s="1"/>
  <c r="E47" i="10"/>
  <c r="E45" i="10"/>
  <c r="U11" i="10"/>
  <c r="H45" i="10" s="1"/>
  <c r="H13" i="11"/>
  <c r="I13" i="11" s="1"/>
  <c r="L42" i="10"/>
  <c r="R67" i="10" s="1"/>
  <c r="L70" i="10"/>
  <c r="E41" i="10"/>
  <c r="U7" i="10"/>
  <c r="H41" i="10" s="1"/>
  <c r="G59" i="10"/>
  <c r="E40" i="10"/>
  <c r="U6" i="10"/>
  <c r="H40" i="10" s="1"/>
  <c r="L38" i="10"/>
  <c r="H9" i="11"/>
  <c r="I9" i="11" s="1"/>
  <c r="G56" i="10"/>
  <c r="T59" i="5"/>
  <c r="T43" i="5"/>
  <c r="S10" i="5"/>
  <c r="E86" i="5"/>
  <c r="T25" i="5"/>
  <c r="T69" i="5"/>
  <c r="H16" i="4"/>
  <c r="H19" i="4" s="1"/>
  <c r="E103" i="5"/>
  <c r="S27" i="5"/>
  <c r="T6" i="5"/>
  <c r="T16" i="5"/>
  <c r="T30" i="5"/>
  <c r="H106" i="5"/>
  <c r="S2" i="5"/>
  <c r="Q2" i="10"/>
  <c r="E36" i="10" s="1"/>
  <c r="O2" i="4"/>
  <c r="F14" i="4" s="1"/>
  <c r="J66" i="10"/>
  <c r="K66" i="10" s="1"/>
  <c r="I66" i="10"/>
  <c r="G81" i="5"/>
  <c r="P5" i="4"/>
  <c r="E60" i="10"/>
  <c r="U26" i="10"/>
  <c r="H60" i="10" s="1"/>
  <c r="M6" i="12" s="1"/>
  <c r="D8" i="12"/>
  <c r="D29" i="12" s="1"/>
  <c r="G51" i="10"/>
  <c r="G37" i="10"/>
  <c r="E56" i="10"/>
  <c r="U22" i="10"/>
  <c r="H56" i="10" s="1"/>
  <c r="O76" i="5"/>
  <c r="S3" i="5"/>
  <c r="T2" i="10"/>
  <c r="V14" i="10" s="1"/>
  <c r="T2" i="5"/>
  <c r="Q2" i="4"/>
  <c r="S4" i="4" s="1"/>
  <c r="T10" i="5"/>
  <c r="T18" i="5"/>
  <c r="T26" i="5"/>
  <c r="K31" i="11"/>
  <c r="D90" i="11"/>
  <c r="C90" i="11"/>
  <c r="L31" i="11"/>
  <c r="L53" i="10"/>
  <c r="E38" i="10"/>
  <c r="U4" i="10"/>
  <c r="H38" i="10" s="1"/>
  <c r="I69" i="10"/>
  <c r="J69" i="10"/>
  <c r="K69" i="10" s="1"/>
  <c r="G45" i="10"/>
  <c r="H22" i="11"/>
  <c r="I22" i="11" s="1"/>
  <c r="L65" i="10"/>
  <c r="M65" i="10"/>
  <c r="N65" i="10" s="1"/>
  <c r="H17" i="11"/>
  <c r="I17" i="11" s="1"/>
  <c r="H30" i="11"/>
  <c r="I30" i="11" s="1"/>
  <c r="E58" i="10"/>
  <c r="U24" i="10"/>
  <c r="H58" i="10" s="1"/>
  <c r="E105" i="5"/>
  <c r="S29" i="5"/>
  <c r="J68" i="10"/>
  <c r="K68" i="10" s="1"/>
  <c r="I68" i="10"/>
  <c r="H95" i="5"/>
  <c r="T19" i="5"/>
  <c r="L58" i="10"/>
  <c r="H105" i="5"/>
  <c r="T29" i="5"/>
  <c r="T17" i="5"/>
  <c r="T22" i="5"/>
  <c r="E87" i="5"/>
  <c r="S11" i="5"/>
  <c r="T23" i="5"/>
  <c r="L20" i="4"/>
  <c r="T45" i="5"/>
  <c r="O67" i="10"/>
  <c r="L94" i="5"/>
  <c r="T32" i="5"/>
  <c r="S19" i="5"/>
  <c r="E95" i="5"/>
  <c r="L69" i="10"/>
  <c r="L47" i="10"/>
  <c r="T37" i="5"/>
  <c r="T66" i="5"/>
  <c r="E13" i="12"/>
  <c r="E34" i="12" s="1"/>
  <c r="D13" i="12"/>
  <c r="D34" i="12" s="1"/>
  <c r="T42" i="5"/>
  <c r="L87" i="5"/>
  <c r="T24" i="5"/>
  <c r="J67" i="10"/>
  <c r="K67" i="10" s="1"/>
  <c r="I67" i="10"/>
  <c r="O68" i="10"/>
  <c r="L43" i="10"/>
  <c r="P68" i="10"/>
  <c r="Q68" i="10" s="1"/>
  <c r="E89" i="5"/>
  <c r="S13" i="5"/>
  <c r="G52" i="10"/>
  <c r="F20" i="4"/>
  <c r="H14" i="11"/>
  <c r="I14" i="11" s="1"/>
  <c r="U3" i="10"/>
  <c r="H37" i="10" s="1"/>
  <c r="E37" i="10"/>
  <c r="H26" i="11"/>
  <c r="I26" i="11" s="1"/>
  <c r="E81" i="5"/>
  <c r="S5" i="5"/>
  <c r="R5" i="4" s="1"/>
  <c r="E59" i="10"/>
  <c r="U25" i="10"/>
  <c r="H59" i="10" s="1"/>
  <c r="I154" i="5"/>
  <c r="I155" i="5" s="1"/>
  <c r="K77" i="10" s="1"/>
  <c r="I153" i="5"/>
  <c r="E98" i="5"/>
  <c r="S22" i="5"/>
  <c r="E54" i="10"/>
  <c r="U20" i="10"/>
  <c r="H54" i="10" s="1"/>
  <c r="L12" i="12" s="1"/>
  <c r="E55" i="10"/>
  <c r="U21" i="10"/>
  <c r="H55" i="10" s="1"/>
  <c r="E39" i="10"/>
  <c r="U5" i="10"/>
  <c r="H39" i="10" s="1"/>
  <c r="E49" i="10"/>
  <c r="U15" i="10"/>
  <c r="H49" i="10" s="1"/>
  <c r="P76" i="10"/>
  <c r="Q76" i="10" s="1"/>
  <c r="O76" i="10"/>
  <c r="L57" i="10"/>
  <c r="K11" i="12"/>
  <c r="J11" i="12"/>
  <c r="H20" i="11"/>
  <c r="I20" i="11" s="1"/>
  <c r="P73" i="10"/>
  <c r="Q73" i="10" s="1"/>
  <c r="O73" i="10"/>
  <c r="L51" i="10"/>
  <c r="T35" i="5"/>
  <c r="T52" i="5"/>
  <c r="T50" i="5"/>
  <c r="H29" i="11"/>
  <c r="I29" i="11" s="1"/>
  <c r="J70" i="10"/>
  <c r="K70" i="10" s="1"/>
  <c r="I70" i="10"/>
  <c r="G60" i="10"/>
  <c r="H21" i="11"/>
  <c r="I21" i="11" s="1"/>
  <c r="K14" i="12"/>
  <c r="J14" i="12"/>
  <c r="L59" i="10"/>
  <c r="M76" i="10"/>
  <c r="N76" i="10" s="1"/>
  <c r="L76" i="10"/>
  <c r="E43" i="10"/>
  <c r="U9" i="10"/>
  <c r="H43" i="10" s="1"/>
  <c r="G58" i="10"/>
  <c r="D4" i="12" s="1"/>
  <c r="D25" i="12" s="1"/>
  <c r="E97" i="5"/>
  <c r="S21" i="5"/>
  <c r="J72" i="10"/>
  <c r="K72" i="10" s="1"/>
  <c r="I72" i="10"/>
  <c r="O75" i="10"/>
  <c r="P75" i="10"/>
  <c r="Q75" i="10" s="1"/>
  <c r="L56" i="10"/>
  <c r="H25" i="11"/>
  <c r="I25" i="11" s="1"/>
  <c r="E52" i="10"/>
  <c r="U18" i="10"/>
  <c r="H52" i="10" s="1"/>
  <c r="T55" i="5"/>
  <c r="T28" i="5"/>
  <c r="H104" i="5"/>
  <c r="T14" i="5"/>
  <c r="T4" i="5"/>
  <c r="T7" i="5"/>
  <c r="P67" i="10"/>
  <c r="Q67" i="10" s="1"/>
  <c r="T56" i="5"/>
  <c r="T44" i="5"/>
  <c r="T15" i="5"/>
  <c r="M11" i="12"/>
  <c r="L11" i="12"/>
  <c r="E106" i="5"/>
  <c r="S30" i="5"/>
  <c r="H184" i="5" l="1"/>
  <c r="I184" i="5" s="1"/>
  <c r="H183" i="5"/>
  <c r="I183" i="5" s="1"/>
  <c r="H223" i="5"/>
  <c r="I223" i="5" s="1"/>
  <c r="E31" i="10"/>
  <c r="I77" i="10"/>
  <c r="I31" i="10"/>
  <c r="D34" i="11" s="1"/>
  <c r="L77" i="10"/>
  <c r="F19" i="4"/>
  <c r="N31" i="10"/>
  <c r="F34" i="11" s="1"/>
  <c r="O77" i="10"/>
  <c r="H31" i="4"/>
  <c r="I31" i="4" s="1"/>
  <c r="I33" i="10"/>
  <c r="D36" i="11" s="1"/>
  <c r="L78" i="10"/>
  <c r="I32" i="10"/>
  <c r="D35" i="11" s="1"/>
  <c r="L79" i="10"/>
  <c r="N33" i="10"/>
  <c r="F36" i="11" s="1"/>
  <c r="O78" i="10"/>
  <c r="D65" i="11"/>
  <c r="E65" i="11" s="1"/>
  <c r="F65" i="11" s="1"/>
  <c r="J5" i="11"/>
  <c r="G65" i="11" s="1"/>
  <c r="I65" i="11" s="1"/>
  <c r="K65" i="11" s="1"/>
  <c r="H28" i="4"/>
  <c r="I28" i="4" s="1"/>
  <c r="J19" i="4"/>
  <c r="B29" i="4"/>
  <c r="C29" i="4"/>
  <c r="E29" i="4"/>
  <c r="B30" i="4"/>
  <c r="C30" i="4"/>
  <c r="E30" i="4"/>
  <c r="H206" i="5"/>
  <c r="I206" i="5" s="1"/>
  <c r="H188" i="5"/>
  <c r="I188" i="5" s="1"/>
  <c r="H173" i="5"/>
  <c r="I173" i="5" s="1"/>
  <c r="H180" i="5"/>
  <c r="I180" i="5" s="1"/>
  <c r="H200" i="5"/>
  <c r="I200" i="5" s="1"/>
  <c r="H221" i="5"/>
  <c r="I221" i="5" s="1"/>
  <c r="H193" i="5"/>
  <c r="I193" i="5" s="1"/>
  <c r="H192" i="5"/>
  <c r="I192" i="5" s="1"/>
  <c r="H226" i="5"/>
  <c r="I226" i="5" s="1"/>
  <c r="H162" i="5"/>
  <c r="I162" i="5" s="1"/>
  <c r="H160" i="5"/>
  <c r="I160" i="5" s="1"/>
  <c r="H165" i="5"/>
  <c r="I165" i="5" s="1"/>
  <c r="H191" i="5"/>
  <c r="I191" i="5" s="1"/>
  <c r="H176" i="5"/>
  <c r="I176" i="5" s="1"/>
  <c r="H186" i="5"/>
  <c r="I186" i="5" s="1"/>
  <c r="H166" i="5"/>
  <c r="I166" i="5" s="1"/>
  <c r="H179" i="5"/>
  <c r="I179" i="5" s="1"/>
  <c r="H172" i="5"/>
  <c r="I172" i="5" s="1"/>
  <c r="H217" i="5"/>
  <c r="I217" i="5" s="1"/>
  <c r="H168" i="5"/>
  <c r="I168" i="5" s="1"/>
  <c r="H222" i="5"/>
  <c r="I222" i="5" s="1"/>
  <c r="H211" i="5"/>
  <c r="I211" i="5" s="1"/>
  <c r="H214" i="5"/>
  <c r="I214" i="5" s="1"/>
  <c r="H213" i="5"/>
  <c r="I213" i="5" s="1"/>
  <c r="H229" i="5"/>
  <c r="I229" i="5" s="1"/>
  <c r="H197" i="5"/>
  <c r="I197" i="5" s="1"/>
  <c r="H218" i="5"/>
  <c r="I218" i="5" s="1"/>
  <c r="H219" i="5"/>
  <c r="I219" i="5" s="1"/>
  <c r="H171" i="5"/>
  <c r="I171" i="5" s="1"/>
  <c r="H181" i="5"/>
  <c r="I181" i="5" s="1"/>
  <c r="H170" i="5"/>
  <c r="I170" i="5" s="1"/>
  <c r="H182" i="5"/>
  <c r="I182" i="5" s="1"/>
  <c r="H212" i="5"/>
  <c r="I212" i="5" s="1"/>
  <c r="H198" i="5"/>
  <c r="I198" i="5" s="1"/>
  <c r="H163" i="5"/>
  <c r="I163" i="5" s="1"/>
  <c r="H178" i="5"/>
  <c r="I178" i="5" s="1"/>
  <c r="H203" i="5"/>
  <c r="I203" i="5" s="1"/>
  <c r="H215" i="5"/>
  <c r="I215" i="5" s="1"/>
  <c r="H175" i="5"/>
  <c r="I175" i="5" s="1"/>
  <c r="H164" i="5"/>
  <c r="I164" i="5" s="1"/>
  <c r="H208" i="5"/>
  <c r="I208" i="5" s="1"/>
  <c r="H210" i="5"/>
  <c r="I210" i="5" s="1"/>
  <c r="H167" i="5"/>
  <c r="I167" i="5" s="1"/>
  <c r="H227" i="5"/>
  <c r="I227" i="5" s="1"/>
  <c r="M20" i="4"/>
  <c r="M23" i="4"/>
  <c r="M24" i="4" s="1"/>
  <c r="J20" i="4"/>
  <c r="J23" i="4"/>
  <c r="J24" i="4" s="1"/>
  <c r="C34" i="11"/>
  <c r="B34" i="11"/>
  <c r="E34" i="11"/>
  <c r="J28" i="11"/>
  <c r="G87" i="11" s="1"/>
  <c r="I87" i="11" s="1"/>
  <c r="J10" i="11"/>
  <c r="G69" i="11" s="1"/>
  <c r="I69" i="11" s="1"/>
  <c r="J23" i="11"/>
  <c r="G82" i="11" s="1"/>
  <c r="I82" i="11" s="1"/>
  <c r="K5" i="11"/>
  <c r="B3" i="12" s="1"/>
  <c r="L5" i="11"/>
  <c r="N5" i="11" s="1"/>
  <c r="C3" i="12" s="1"/>
  <c r="C24" i="12" s="1"/>
  <c r="E91" i="11"/>
  <c r="F91" i="11" s="1"/>
  <c r="M16" i="4"/>
  <c r="J21" i="4"/>
  <c r="J22" i="4" s="1"/>
  <c r="C75" i="11"/>
  <c r="E75" i="11" s="1"/>
  <c r="F75" i="11" s="1"/>
  <c r="J16" i="11"/>
  <c r="G75" i="11" s="1"/>
  <c r="I75" i="11" s="1"/>
  <c r="S73" i="10"/>
  <c r="T73" i="10" s="1"/>
  <c r="R73" i="10"/>
  <c r="L14" i="11"/>
  <c r="K14" i="11"/>
  <c r="C73" i="11"/>
  <c r="E73" i="11" s="1"/>
  <c r="F73" i="11" s="1"/>
  <c r="J14" i="11"/>
  <c r="G73" i="11" s="1"/>
  <c r="I73" i="11" s="1"/>
  <c r="C76" i="11"/>
  <c r="E76" i="11" s="1"/>
  <c r="F76" i="11" s="1"/>
  <c r="J17" i="11"/>
  <c r="G76" i="11" s="1"/>
  <c r="I76" i="11" s="1"/>
  <c r="M8" i="12"/>
  <c r="L8" i="12"/>
  <c r="V22" i="10"/>
  <c r="S69" i="10"/>
  <c r="T69" i="10" s="1"/>
  <c r="R69" i="10"/>
  <c r="V16" i="10"/>
  <c r="C71" i="11"/>
  <c r="E71" i="11" s="1"/>
  <c r="F71" i="11" s="1"/>
  <c r="J12" i="11"/>
  <c r="G71" i="11" s="1"/>
  <c r="I71" i="11" s="1"/>
  <c r="C78" i="11"/>
  <c r="E78" i="11" s="1"/>
  <c r="F78" i="11" s="1"/>
  <c r="L19" i="11"/>
  <c r="K19" i="11"/>
  <c r="J19" i="11"/>
  <c r="G78" i="11" s="1"/>
  <c r="I78" i="11" s="1"/>
  <c r="E10" i="12"/>
  <c r="E31" i="12" s="1"/>
  <c r="D10" i="12"/>
  <c r="D31" i="12" s="1"/>
  <c r="C70" i="11"/>
  <c r="E70" i="11" s="1"/>
  <c r="F70" i="11" s="1"/>
  <c r="J11" i="11"/>
  <c r="G70" i="11" s="1"/>
  <c r="I70" i="11" s="1"/>
  <c r="K27" i="11"/>
  <c r="C86" i="11"/>
  <c r="E86" i="11" s="1"/>
  <c r="F86" i="11" s="1"/>
  <c r="L27" i="11"/>
  <c r="J27" i="11"/>
  <c r="G86" i="11" s="1"/>
  <c r="I86" i="11" s="1"/>
  <c r="V7" i="10"/>
  <c r="S67" i="10"/>
  <c r="T67" i="10" s="1"/>
  <c r="S72" i="10"/>
  <c r="T72" i="10" s="1"/>
  <c r="R72" i="10"/>
  <c r="S71" i="10"/>
  <c r="T71" i="10" s="1"/>
  <c r="R71" i="10"/>
  <c r="C66" i="11"/>
  <c r="E66" i="11" s="1"/>
  <c r="F66" i="11" s="1"/>
  <c r="L7" i="11"/>
  <c r="K7" i="11"/>
  <c r="J7" i="11"/>
  <c r="G66" i="11" s="1"/>
  <c r="I66" i="11" s="1"/>
  <c r="I16" i="4"/>
  <c r="I19" i="4" s="1"/>
  <c r="L16" i="12" s="1"/>
  <c r="M16" i="12"/>
  <c r="L153" i="5"/>
  <c r="L154" i="5"/>
  <c r="L155" i="5" s="1"/>
  <c r="V5" i="10"/>
  <c r="V26" i="10"/>
  <c r="S68" i="10"/>
  <c r="T68" i="10" s="1"/>
  <c r="R68" i="10"/>
  <c r="C89" i="11"/>
  <c r="E89" i="11" s="1"/>
  <c r="F89" i="11" s="1"/>
  <c r="J30" i="11"/>
  <c r="G89" i="11" s="1"/>
  <c r="I89" i="11" s="1"/>
  <c r="S76" i="5"/>
  <c r="L18" i="12" s="1"/>
  <c r="C67" i="11"/>
  <c r="E67" i="11" s="1"/>
  <c r="F67" i="11" s="1"/>
  <c r="L8" i="11"/>
  <c r="K8" i="11"/>
  <c r="J8" i="11"/>
  <c r="G67" i="11" s="1"/>
  <c r="I67" i="11" s="1"/>
  <c r="V18" i="10"/>
  <c r="C68" i="11"/>
  <c r="E68" i="11" s="1"/>
  <c r="F68" i="11" s="1"/>
  <c r="K9" i="11"/>
  <c r="L9" i="11"/>
  <c r="J9" i="11"/>
  <c r="G68" i="11" s="1"/>
  <c r="I68" i="11" s="1"/>
  <c r="V10" i="10"/>
  <c r="E9" i="12"/>
  <c r="E30" i="12" s="1"/>
  <c r="D9" i="12"/>
  <c r="D30" i="12" s="1"/>
  <c r="K65" i="10"/>
  <c r="V15" i="10"/>
  <c r="E14" i="12"/>
  <c r="E35" i="12" s="1"/>
  <c r="D14" i="12"/>
  <c r="D35" i="12" s="1"/>
  <c r="C83" i="11"/>
  <c r="E83" i="11" s="1"/>
  <c r="F83" i="11" s="1"/>
  <c r="J24" i="11"/>
  <c r="G83" i="11" s="1"/>
  <c r="I83" i="11" s="1"/>
  <c r="M10" i="12"/>
  <c r="L10" i="12"/>
  <c r="M17" i="12"/>
  <c r="I17" i="4"/>
  <c r="I20" i="4" s="1"/>
  <c r="L17" i="12" s="1"/>
  <c r="L5" i="12"/>
  <c r="M5" i="12"/>
  <c r="M18" i="12"/>
  <c r="U2" i="10"/>
  <c r="H36" i="10" s="1"/>
  <c r="L3" i="12" s="1"/>
  <c r="R2" i="4"/>
  <c r="I14" i="4" s="1"/>
  <c r="E5" i="12"/>
  <c r="E26" i="12" s="1"/>
  <c r="D5" i="12"/>
  <c r="D26" i="12" s="1"/>
  <c r="C88" i="11"/>
  <c r="E88" i="11" s="1"/>
  <c r="F88" i="11" s="1"/>
  <c r="J29" i="11"/>
  <c r="G88" i="11" s="1"/>
  <c r="I88" i="11" s="1"/>
  <c r="M9" i="12"/>
  <c r="L9" i="12"/>
  <c r="M12" i="12"/>
  <c r="V11" i="10"/>
  <c r="E90" i="11"/>
  <c r="F90" i="11" s="1"/>
  <c r="H14" i="4"/>
  <c r="S3" i="4"/>
  <c r="S6" i="4"/>
  <c r="E7" i="12"/>
  <c r="E28" i="12" s="1"/>
  <c r="D7" i="12"/>
  <c r="D28" i="12" s="1"/>
  <c r="C72" i="11"/>
  <c r="E72" i="11" s="1"/>
  <c r="F72" i="11" s="1"/>
  <c r="L13" i="11"/>
  <c r="K13" i="11"/>
  <c r="J13" i="11"/>
  <c r="G72" i="11" s="1"/>
  <c r="I72" i="11" s="1"/>
  <c r="T76" i="5"/>
  <c r="S5" i="4"/>
  <c r="C77" i="11"/>
  <c r="E77" i="11" s="1"/>
  <c r="F77" i="11" s="1"/>
  <c r="F9" i="12" s="1"/>
  <c r="J18" i="11"/>
  <c r="G77" i="11" s="1"/>
  <c r="I77" i="11" s="1"/>
  <c r="S70" i="10"/>
  <c r="T70" i="10" s="1"/>
  <c r="R70" i="10"/>
  <c r="L14" i="12"/>
  <c r="S75" i="10"/>
  <c r="T75" i="10" s="1"/>
  <c r="R75" i="10"/>
  <c r="L21" i="11"/>
  <c r="K21" i="11"/>
  <c r="C80" i="11"/>
  <c r="E80" i="11" s="1"/>
  <c r="F80" i="11" s="1"/>
  <c r="J21" i="11"/>
  <c r="G80" i="11" s="1"/>
  <c r="I80" i="11" s="1"/>
  <c r="S76" i="10"/>
  <c r="T76" i="10" s="1"/>
  <c r="R76" i="10"/>
  <c r="E4" i="12"/>
  <c r="E25" i="12" s="1"/>
  <c r="G36" i="10"/>
  <c r="D3" i="12" s="1"/>
  <c r="D24" i="12" s="1"/>
  <c r="V6" i="10"/>
  <c r="V20" i="10"/>
  <c r="V9" i="10"/>
  <c r="V13" i="10"/>
  <c r="V12" i="10"/>
  <c r="V8" i="10"/>
  <c r="V4" i="10"/>
  <c r="V21" i="10"/>
  <c r="E12" i="12"/>
  <c r="E33" i="12" s="1"/>
  <c r="D12" i="12"/>
  <c r="D33" i="12" s="1"/>
  <c r="V25" i="10"/>
  <c r="M13" i="12"/>
  <c r="L13" i="12"/>
  <c r="L7" i="12"/>
  <c r="M7" i="12"/>
  <c r="D11" i="12"/>
  <c r="D32" i="12" s="1"/>
  <c r="E11" i="12"/>
  <c r="E32" i="12" s="1"/>
  <c r="C79" i="11"/>
  <c r="E79" i="11" s="1"/>
  <c r="F79" i="11" s="1"/>
  <c r="L20" i="11"/>
  <c r="K20" i="11"/>
  <c r="J20" i="11"/>
  <c r="G79" i="11" s="1"/>
  <c r="I79" i="11" s="1"/>
  <c r="L6" i="12"/>
  <c r="C81" i="11"/>
  <c r="E81" i="11" s="1"/>
  <c r="F81" i="11" s="1"/>
  <c r="J22" i="11"/>
  <c r="G81" i="11" s="1"/>
  <c r="I81" i="11" s="1"/>
  <c r="V3" i="10"/>
  <c r="K17" i="12"/>
  <c r="G17" i="4"/>
  <c r="G20" i="4" s="1"/>
  <c r="J17" i="12" s="1"/>
  <c r="S66" i="10"/>
  <c r="T66" i="10" s="1"/>
  <c r="R66" i="10"/>
  <c r="L25" i="11"/>
  <c r="K25" i="11"/>
  <c r="C84" i="11"/>
  <c r="E84" i="11" s="1"/>
  <c r="F84" i="11" s="1"/>
  <c r="J25" i="11"/>
  <c r="G84" i="11" s="1"/>
  <c r="I84" i="11" s="1"/>
  <c r="V24" i="10"/>
  <c r="M4" i="12"/>
  <c r="L4" i="12"/>
  <c r="C85" i="11"/>
  <c r="E85" i="11" s="1"/>
  <c r="F85" i="11" s="1"/>
  <c r="L26" i="11"/>
  <c r="K26" i="11"/>
  <c r="J26" i="11"/>
  <c r="G85" i="11" s="1"/>
  <c r="I85" i="11" s="1"/>
  <c r="E15" i="12"/>
  <c r="E36" i="12" s="1"/>
  <c r="D15" i="12"/>
  <c r="D36" i="12" s="1"/>
  <c r="G90" i="11"/>
  <c r="M31" i="11"/>
  <c r="N31" i="11"/>
  <c r="V2" i="10"/>
  <c r="S2" i="4"/>
  <c r="V17" i="10"/>
  <c r="M15" i="12"/>
  <c r="L15" i="12"/>
  <c r="S65" i="10"/>
  <c r="T65" i="10" s="1"/>
  <c r="R65" i="10"/>
  <c r="S74" i="10"/>
  <c r="T74" i="10" s="1"/>
  <c r="R74" i="10"/>
  <c r="V23" i="10"/>
  <c r="K15" i="11"/>
  <c r="V19" i="10"/>
  <c r="E6" i="12"/>
  <c r="E27" i="12" s="1"/>
  <c r="D6" i="12"/>
  <c r="D27" i="12" s="1"/>
  <c r="L15" i="11"/>
  <c r="I90" i="11" l="1"/>
  <c r="K90" i="11" s="1"/>
  <c r="Q31" i="10"/>
  <c r="R77" i="10"/>
  <c r="K160" i="5"/>
  <c r="L160" i="5" s="1"/>
  <c r="Q33" i="10"/>
  <c r="R78" i="10"/>
  <c r="E33" i="10"/>
  <c r="C36" i="11" s="1"/>
  <c r="I78" i="10"/>
  <c r="E32" i="10"/>
  <c r="I79" i="10"/>
  <c r="H30" i="4"/>
  <c r="I30" i="4" s="1"/>
  <c r="H29" i="4"/>
  <c r="I29" i="4" s="1"/>
  <c r="J28" i="4" s="1"/>
  <c r="J160" i="5"/>
  <c r="M5" i="11"/>
  <c r="B24" i="12" s="1"/>
  <c r="H34" i="11"/>
  <c r="J34" i="11" s="1"/>
  <c r="K34" i="11" s="1"/>
  <c r="G9" i="12"/>
  <c r="M19" i="4"/>
  <c r="M21" i="4"/>
  <c r="M22" i="4" s="1"/>
  <c r="G14" i="12"/>
  <c r="F14" i="12"/>
  <c r="N15" i="11"/>
  <c r="C9" i="12"/>
  <c r="C30" i="12" s="1"/>
  <c r="B11" i="12"/>
  <c r="B32" i="12" s="1"/>
  <c r="M20" i="11"/>
  <c r="B4" i="12"/>
  <c r="M7" i="11"/>
  <c r="B25" i="12" s="1"/>
  <c r="G8" i="12"/>
  <c r="F8" i="12"/>
  <c r="C11" i="12"/>
  <c r="C32" i="12" s="1"/>
  <c r="N20" i="11"/>
  <c r="B5" i="12"/>
  <c r="M8" i="11"/>
  <c r="B26" i="12" s="1"/>
  <c r="B6" i="12"/>
  <c r="M9" i="11"/>
  <c r="B27" i="12" s="1"/>
  <c r="I5" i="12"/>
  <c r="G5" i="12"/>
  <c r="F5" i="12"/>
  <c r="G15" i="12"/>
  <c r="F15" i="12"/>
  <c r="C10" i="12"/>
  <c r="C31" i="12" s="1"/>
  <c r="N19" i="11"/>
  <c r="B7" i="12"/>
  <c r="M13" i="11"/>
  <c r="B28" i="12" s="1"/>
  <c r="G6" i="12"/>
  <c r="F6" i="12"/>
  <c r="G11" i="12"/>
  <c r="F11" i="12"/>
  <c r="C6" i="12"/>
  <c r="C27" i="12" s="1"/>
  <c r="N9" i="11"/>
  <c r="G4" i="12"/>
  <c r="F4" i="12"/>
  <c r="B10" i="12"/>
  <c r="M19" i="11"/>
  <c r="B31" i="12" s="1"/>
  <c r="B15" i="12"/>
  <c r="B36" i="12" s="1"/>
  <c r="M27" i="11"/>
  <c r="G10" i="12"/>
  <c r="F10" i="12"/>
  <c r="B14" i="12"/>
  <c r="B35" i="12" s="1"/>
  <c r="M26" i="11"/>
  <c r="B13" i="12"/>
  <c r="B34" i="12" s="1"/>
  <c r="M25" i="11"/>
  <c r="C12" i="12"/>
  <c r="C33" i="12" s="1"/>
  <c r="N21" i="11"/>
  <c r="C4" i="12"/>
  <c r="C25" i="12" s="1"/>
  <c r="N7" i="11"/>
  <c r="B8" i="12"/>
  <c r="M14" i="11"/>
  <c r="B29" i="12" s="1"/>
  <c r="C5" i="12"/>
  <c r="C26" i="12" s="1"/>
  <c r="N8" i="11"/>
  <c r="C15" i="12"/>
  <c r="C36" i="12" s="1"/>
  <c r="N27" i="11"/>
  <c r="C8" i="12"/>
  <c r="C29" i="12" s="1"/>
  <c r="N14" i="11"/>
  <c r="G12" i="12"/>
  <c r="F12" i="12"/>
  <c r="N13" i="11"/>
  <c r="C7" i="12"/>
  <c r="C28" i="12" s="1"/>
  <c r="B9" i="12"/>
  <c r="M15" i="11"/>
  <c r="B30" i="12" s="1"/>
  <c r="G13" i="12"/>
  <c r="F13" i="12"/>
  <c r="B12" i="12"/>
  <c r="B33" i="12" s="1"/>
  <c r="M21" i="11"/>
  <c r="G7" i="12"/>
  <c r="F7" i="12"/>
  <c r="C14" i="12"/>
  <c r="C35" i="12" s="1"/>
  <c r="N26" i="11"/>
  <c r="C13" i="12"/>
  <c r="C34" i="12" s="1"/>
  <c r="N25" i="11"/>
  <c r="E36" i="11" l="1"/>
  <c r="B36" i="11"/>
  <c r="K28" i="4"/>
  <c r="L28" i="4" s="1"/>
  <c r="E35" i="11"/>
  <c r="C35" i="11"/>
  <c r="B35" i="11"/>
  <c r="J30" i="4"/>
  <c r="K30" i="4"/>
  <c r="L30" i="4" s="1"/>
  <c r="Q32" i="10"/>
  <c r="R79" i="10"/>
  <c r="H36" i="11" l="1"/>
  <c r="J36" i="11" s="1"/>
  <c r="K36" i="11" s="1"/>
  <c r="H35" i="11"/>
  <c r="J35" i="11" s="1"/>
  <c r="K35" i="11" s="1"/>
  <c r="K88" i="11" l="1"/>
  <c r="K86" i="11"/>
  <c r="K74" i="11"/>
  <c r="K71" i="11" l="1"/>
  <c r="K70" i="11"/>
  <c r="K77" i="11"/>
  <c r="F30" i="12" s="1"/>
  <c r="K76" i="11"/>
  <c r="K73" i="11"/>
  <c r="K68" i="11"/>
  <c r="K78" i="11"/>
  <c r="K84" i="11"/>
  <c r="K87" i="11"/>
  <c r="K72" i="11"/>
  <c r="K66" i="11"/>
  <c r="K67" i="11"/>
  <c r="K82" i="11"/>
  <c r="K83" i="11"/>
  <c r="K79" i="11"/>
  <c r="K80" i="11"/>
  <c r="G34" i="12" l="1"/>
  <c r="F34" i="12"/>
  <c r="K85" i="11"/>
  <c r="F26" i="12"/>
  <c r="G26" i="12"/>
  <c r="K89" i="11"/>
  <c r="G30" i="12"/>
  <c r="G33" i="12"/>
  <c r="F33" i="12"/>
  <c r="F27" i="12"/>
  <c r="G27" i="12"/>
  <c r="G32" i="12"/>
  <c r="F32" i="12"/>
  <c r="G29" i="12"/>
  <c r="F29" i="12"/>
  <c r="G35" i="12" l="1"/>
  <c r="F35" i="12"/>
  <c r="G36" i="12"/>
  <c r="F36" i="12"/>
  <c r="K75" i="11"/>
  <c r="K69" i="11"/>
  <c r="K81" i="11"/>
  <c r="F31" i="12" l="1"/>
  <c r="G31" i="12"/>
  <c r="G28" i="12"/>
  <c r="F28" i="12"/>
  <c r="G25" i="12"/>
  <c r="F25" i="12"/>
</calcChain>
</file>

<file path=xl/sharedStrings.xml><?xml version="1.0" encoding="utf-8"?>
<sst xmlns="http://schemas.openxmlformats.org/spreadsheetml/2006/main" count="509" uniqueCount="277">
  <si>
    <t>Sample</t>
  </si>
  <si>
    <t>AKA</t>
  </si>
  <si>
    <t>C</t>
  </si>
  <si>
    <t xml:space="preserve">C Average </t>
  </si>
  <si>
    <t>H</t>
  </si>
  <si>
    <t xml:space="preserve">H Average </t>
  </si>
  <si>
    <t>N</t>
  </si>
  <si>
    <t xml:space="preserve">N Average </t>
  </si>
  <si>
    <t>O</t>
  </si>
  <si>
    <t>H/C</t>
  </si>
  <si>
    <t>N/C</t>
  </si>
  <si>
    <t>O/C</t>
  </si>
  <si>
    <t>N/C REDUCTION (%)</t>
  </si>
  <si>
    <t>Raw</t>
  </si>
  <si>
    <t>RAW</t>
  </si>
  <si>
    <t>stdev</t>
  </si>
  <si>
    <t>STDEV</t>
  </si>
  <si>
    <t>3.55C^2</t>
  </si>
  <si>
    <t>232C</t>
  </si>
  <si>
    <t>2230H</t>
  </si>
  <si>
    <t>51.2C*H</t>
  </si>
  <si>
    <t>131N</t>
  </si>
  <si>
    <t>HHV kJ/kg</t>
  </si>
  <si>
    <t>sample</t>
  </si>
  <si>
    <t>20600</t>
  </si>
  <si>
    <t>SWE_178_1</t>
  </si>
  <si>
    <t>SWE_178_2</t>
  </si>
  <si>
    <t>SWE_178_3</t>
  </si>
  <si>
    <t>SWE_178_7</t>
  </si>
  <si>
    <t>SWE_178_8</t>
  </si>
  <si>
    <t>SWE_178_4</t>
  </si>
  <si>
    <t>SWE_178_5</t>
  </si>
  <si>
    <t>SWE_178_6</t>
  </si>
  <si>
    <t>SWE_178_9</t>
  </si>
  <si>
    <t>SWE_178_10</t>
  </si>
  <si>
    <t>SWE_178_11</t>
  </si>
  <si>
    <t>SWE_178_12</t>
  </si>
  <si>
    <t>SWE_178_13</t>
  </si>
  <si>
    <t>SWE_178_14</t>
  </si>
  <si>
    <t>SWE_178_15</t>
  </si>
  <si>
    <t>SWE_178_16</t>
  </si>
  <si>
    <t>SWE_178_17</t>
  </si>
  <si>
    <t>SWE_178_18</t>
  </si>
  <si>
    <t>SWE_178_19</t>
  </si>
  <si>
    <t>SWE_178_20</t>
  </si>
  <si>
    <t>SWE_178_21</t>
  </si>
  <si>
    <t>SWE_178_22</t>
  </si>
  <si>
    <t>SWE_178_23</t>
  </si>
  <si>
    <t>SWE_178_24</t>
  </si>
  <si>
    <t>SWE_178_25</t>
  </si>
  <si>
    <t>SWE_178_26</t>
  </si>
  <si>
    <t>SWE_178_27</t>
  </si>
  <si>
    <t>SWE_178_28</t>
  </si>
  <si>
    <t>Column1</t>
  </si>
  <si>
    <t>Column2</t>
  </si>
  <si>
    <t>Column4</t>
  </si>
  <si>
    <t>Column6</t>
  </si>
  <si>
    <t>HTC RAW A Primary char</t>
  </si>
  <si>
    <t>HTC RAW A Secondary char</t>
  </si>
  <si>
    <t xml:space="preserve">HTC RAW A Unextracted </t>
  </si>
  <si>
    <t>HTC RAW B Primary Char</t>
  </si>
  <si>
    <t>HTC RAW  B Secondary Char</t>
  </si>
  <si>
    <t xml:space="preserve">HTC SWE A Unextracted </t>
  </si>
  <si>
    <t>HTC SWE A Primary char</t>
  </si>
  <si>
    <t>HTC SWE A Secondary char</t>
  </si>
  <si>
    <t xml:space="preserve">HTC SWE B Unextracted </t>
  </si>
  <si>
    <t>HTC SWE B Primary char</t>
  </si>
  <si>
    <t>HTC SWE B Secondary char</t>
  </si>
  <si>
    <t>HTC RAW B Unextracted</t>
  </si>
  <si>
    <t xml:space="preserve">HTC PE RAW A Unextracted </t>
  </si>
  <si>
    <t>HTC PE RAW A Primary char</t>
  </si>
  <si>
    <t>HTC PE RAW A Secondary char</t>
  </si>
  <si>
    <t xml:space="preserve">HTC PE RAW B Unextracted </t>
  </si>
  <si>
    <t>HTC PE RAW B Primary char</t>
  </si>
  <si>
    <t>HTC PE RAW B Secondary char</t>
  </si>
  <si>
    <t xml:space="preserve">HTC PE SWE A Unextracted </t>
  </si>
  <si>
    <t>HTC PE SWE A Primary char</t>
  </si>
  <si>
    <t>HTC PE SWE A Secondary char</t>
  </si>
  <si>
    <t xml:space="preserve">HTC PE SWE B Unextracted </t>
  </si>
  <si>
    <t>HTC PE SWE B Primary char</t>
  </si>
  <si>
    <t>HTC PE SWE B Secondary char</t>
  </si>
  <si>
    <t>Average</t>
  </si>
  <si>
    <t>stdev3</t>
  </si>
  <si>
    <t>STDEV5</t>
  </si>
  <si>
    <t>PE SWE Average</t>
  </si>
  <si>
    <t>PE RAW Average</t>
  </si>
  <si>
    <t>AVERAGE HHV (as received basis)</t>
  </si>
  <si>
    <t>C2</t>
  </si>
  <si>
    <t>H2</t>
  </si>
  <si>
    <t>N2</t>
  </si>
  <si>
    <t>As received</t>
  </si>
  <si>
    <t>H (As received)</t>
  </si>
  <si>
    <t>C (As received)</t>
  </si>
  <si>
    <t>N (As received)</t>
  </si>
  <si>
    <t>O (difference)</t>
  </si>
  <si>
    <t>Dry Basis</t>
  </si>
  <si>
    <t>C (dry basis)</t>
  </si>
  <si>
    <t>H (dry basis)</t>
  </si>
  <si>
    <t>N(dry basis)</t>
  </si>
  <si>
    <t>O (dry basis)</t>
  </si>
  <si>
    <t>100/(100*Moisture content as received)</t>
  </si>
  <si>
    <t>AVERAGE HHV (DRY BASIS)</t>
  </si>
  <si>
    <t xml:space="preserve"> </t>
  </si>
  <si>
    <t>Primary Char</t>
  </si>
  <si>
    <t>Secondary Char</t>
  </si>
  <si>
    <t>HTC SWE</t>
  </si>
  <si>
    <t>HTC PE SWE</t>
  </si>
  <si>
    <t>HTC PE RAW</t>
  </si>
  <si>
    <t>HHV (AR) MJ/kg</t>
  </si>
  <si>
    <t>stdev HHV (AR)</t>
  </si>
  <si>
    <t>HTC RAW</t>
  </si>
  <si>
    <t>HTC RAW PC</t>
  </si>
  <si>
    <t>HTC RAW SC</t>
  </si>
  <si>
    <t>HTC SWE PC</t>
  </si>
  <si>
    <t>HTC SWE SC</t>
  </si>
  <si>
    <t>HTC PE RAW PC</t>
  </si>
  <si>
    <t>HTC PE RAW SC</t>
  </si>
  <si>
    <t>HTC PE SWE PC</t>
  </si>
  <si>
    <t>HTC PE SWE SC</t>
  </si>
  <si>
    <t>STDEV N/C (AR)</t>
  </si>
  <si>
    <t>N/C (AR)</t>
  </si>
  <si>
    <t>STDEV2</t>
  </si>
  <si>
    <t xml:space="preserve">HHV RAW (AR) </t>
  </si>
  <si>
    <t>HHV HC (AR)</t>
  </si>
  <si>
    <t>Solid yield</t>
  </si>
  <si>
    <t>HHV HC/ HHV RAW (AR)</t>
  </si>
  <si>
    <t>EY = HHV HC/ HHV RAW * Solid Yield</t>
  </si>
  <si>
    <t>Energy Yield (AR)</t>
  </si>
  <si>
    <t>Solid Yield</t>
  </si>
  <si>
    <t>STDEV Energy yield (AR)</t>
  </si>
  <si>
    <t>PE SWE A</t>
  </si>
  <si>
    <t>PE SWE B</t>
  </si>
  <si>
    <t>PE SWE</t>
  </si>
  <si>
    <t>PE RAW</t>
  </si>
  <si>
    <t>*(SWE13 MC)</t>
  </si>
  <si>
    <t>Volatile Matter Average</t>
  </si>
  <si>
    <t>FC average</t>
  </si>
  <si>
    <t>Ash average</t>
  </si>
  <si>
    <t>H/C (AR)</t>
  </si>
  <si>
    <t>STDEV H/C (AR)</t>
  </si>
  <si>
    <t>STDEV O/C (AR)</t>
  </si>
  <si>
    <t>SWE</t>
  </si>
  <si>
    <t>SWE_178_29</t>
  </si>
  <si>
    <t>SWE_178_30</t>
  </si>
  <si>
    <t>SWE_178_31</t>
  </si>
  <si>
    <t>SWE_178_32</t>
  </si>
  <si>
    <t>SWE_178_33</t>
  </si>
  <si>
    <t>SWE_178_34</t>
  </si>
  <si>
    <t>SWE_178_35</t>
  </si>
  <si>
    <t>SWE_178_36</t>
  </si>
  <si>
    <t>SWE_178_37</t>
  </si>
  <si>
    <t>SWE_178_38</t>
  </si>
  <si>
    <t>SWE_178_39</t>
  </si>
  <si>
    <t>SWE_178_40</t>
  </si>
  <si>
    <t>SWE_178_41</t>
  </si>
  <si>
    <t>SWE_178_42</t>
  </si>
  <si>
    <t>SWE_178_43</t>
  </si>
  <si>
    <t>SWE_178_44</t>
  </si>
  <si>
    <t>SWE_178_45</t>
  </si>
  <si>
    <t>SWE_178_46</t>
  </si>
  <si>
    <t>SWE_178_49</t>
  </si>
  <si>
    <t>SWE_178_50</t>
  </si>
  <si>
    <t>SWE_178_51</t>
  </si>
  <si>
    <t>SWE_178_52</t>
  </si>
  <si>
    <t>SWE_178_53</t>
  </si>
  <si>
    <t>SWE_178_54</t>
  </si>
  <si>
    <t>SWE_178_55</t>
  </si>
  <si>
    <t>SWE_178_56</t>
  </si>
  <si>
    <t>SWE_178_57</t>
  </si>
  <si>
    <t>SWE_178_58</t>
  </si>
  <si>
    <t>SWE_178_59</t>
  </si>
  <si>
    <t>SWE_178_60</t>
  </si>
  <si>
    <t>SWE_178_61</t>
  </si>
  <si>
    <t>SWE_178_62</t>
  </si>
  <si>
    <t>SWE_178_63</t>
  </si>
  <si>
    <t>SWE_178_64</t>
  </si>
  <si>
    <t>SWE_178_65</t>
  </si>
  <si>
    <t>SWE_178_66</t>
  </si>
  <si>
    <t>SWE_178_67</t>
  </si>
  <si>
    <t>SWE_178_68</t>
  </si>
  <si>
    <t>SWE_178_69</t>
  </si>
  <si>
    <t>SWE_178_70</t>
  </si>
  <si>
    <t>SWE_178_71</t>
  </si>
  <si>
    <t>SWE_178_72</t>
  </si>
  <si>
    <t>SWE_178_73</t>
  </si>
  <si>
    <t>SWE_178_74</t>
  </si>
  <si>
    <t>SWE_178_75</t>
  </si>
  <si>
    <t>HTC 223 SWE B PC</t>
  </si>
  <si>
    <t>HTC 223 SWE A</t>
  </si>
  <si>
    <t>HTC 223 SWE A PC</t>
  </si>
  <si>
    <t>HTC 223 SWE A SC</t>
  </si>
  <si>
    <t>HTC 223 SWE B</t>
  </si>
  <si>
    <t>HTC 223 SWE B SC</t>
  </si>
  <si>
    <t>HTC 223 PE SWE  A</t>
  </si>
  <si>
    <t>HTC 223 PE SWE A</t>
  </si>
  <si>
    <t>HTC 223 PE SWE PC</t>
  </si>
  <si>
    <t>HTC 223 PE SWE SC</t>
  </si>
  <si>
    <t>HTC 223 PE SWE  B</t>
  </si>
  <si>
    <t>HTC 223 PE SWE B</t>
  </si>
  <si>
    <t>HTC 223 PE SWE  PC</t>
  </si>
  <si>
    <t>HTC 223 PE SWE  SC</t>
  </si>
  <si>
    <t>HTC 223 PE RAW A</t>
  </si>
  <si>
    <t>HTC 223 PE RAW A PC</t>
  </si>
  <si>
    <t>HTC 223 PE RAW A SC</t>
  </si>
  <si>
    <t>HTC 223 PE RAW B</t>
  </si>
  <si>
    <t>HTC 223 PE RAW B PC</t>
  </si>
  <si>
    <t>HTC 223 PE RAW B SC</t>
  </si>
  <si>
    <t>HTC 223 RAW A</t>
  </si>
  <si>
    <t>HTC 223 RAW A PC</t>
  </si>
  <si>
    <t>HTC 223 RAW A SC</t>
  </si>
  <si>
    <t>HTC 223 RAW B</t>
  </si>
  <si>
    <t>HTC 223 RAW B PC</t>
  </si>
  <si>
    <t>HTC 223 RAW B SC</t>
  </si>
  <si>
    <t>PE 223 SWE A</t>
  </si>
  <si>
    <t>PE 223 SWE B</t>
  </si>
  <si>
    <t>PE 223 RAW A</t>
  </si>
  <si>
    <t>PE 223 RAW B</t>
  </si>
  <si>
    <t>HTC 223 D1</t>
  </si>
  <si>
    <t>HTC 223 D2</t>
  </si>
  <si>
    <t>HTC 223 D3</t>
  </si>
  <si>
    <t>Average HTC Defatted</t>
  </si>
  <si>
    <t>stdev32</t>
  </si>
  <si>
    <t xml:space="preserve">HTC 223 SWE </t>
  </si>
  <si>
    <t>HTC 223 SWE  PC</t>
  </si>
  <si>
    <t>HTC 223 SWE SC</t>
  </si>
  <si>
    <t xml:space="preserve">HTC 223 PE SWE  </t>
  </si>
  <si>
    <t>Volatile Matter A</t>
  </si>
  <si>
    <t>Volatile Matter B</t>
  </si>
  <si>
    <t>Fixed Carbon A</t>
  </si>
  <si>
    <t>Fixed Carbon B</t>
  </si>
  <si>
    <t>Ash A</t>
  </si>
  <si>
    <t>Ash B</t>
  </si>
  <si>
    <t>MCF</t>
  </si>
  <si>
    <t>Dry basis</t>
  </si>
  <si>
    <t>Volatile Matter Average2</t>
  </si>
  <si>
    <t>stdev4</t>
  </si>
  <si>
    <t>FC average5</t>
  </si>
  <si>
    <t>stdev36</t>
  </si>
  <si>
    <t>Ash average7</t>
  </si>
  <si>
    <t>stdev328</t>
  </si>
  <si>
    <t>HHV MJ/kg db</t>
  </si>
  <si>
    <t>HHV MJ/kg ar</t>
  </si>
  <si>
    <t>HHV (DB) MJ/kg</t>
  </si>
  <si>
    <t xml:space="preserve">STDEV N/C </t>
  </si>
  <si>
    <t>Energy Yield (DB)</t>
  </si>
  <si>
    <t>HHV HC DB</t>
  </si>
  <si>
    <t>HHV HC/ HHV RAW DB</t>
  </si>
  <si>
    <t>HHV RAW DB</t>
  </si>
  <si>
    <t>EY DB</t>
  </si>
  <si>
    <t>SY DB</t>
  </si>
  <si>
    <t>Stdev3</t>
  </si>
  <si>
    <t>Stdev4</t>
  </si>
  <si>
    <t>stdev2</t>
  </si>
  <si>
    <t>SEM</t>
  </si>
  <si>
    <t>SEM2</t>
  </si>
  <si>
    <t>SEM3</t>
  </si>
  <si>
    <t>CI</t>
  </si>
  <si>
    <t>ci2</t>
  </si>
  <si>
    <t>ci3</t>
  </si>
  <si>
    <t>CI HHV DB</t>
  </si>
  <si>
    <t>RAW 2</t>
  </si>
  <si>
    <t>STDEV solid yield (AR)2</t>
  </si>
  <si>
    <t>sem Energy yield db</t>
  </si>
  <si>
    <t>average(</t>
  </si>
  <si>
    <t xml:space="preserve">average </t>
  </si>
  <si>
    <t>pe swe ci</t>
  </si>
  <si>
    <t>pe raw ci</t>
  </si>
  <si>
    <t>ci</t>
  </si>
  <si>
    <t>swe</t>
  </si>
  <si>
    <t>pe raw</t>
  </si>
  <si>
    <t>pe swe</t>
  </si>
  <si>
    <t>swe average</t>
  </si>
  <si>
    <t>pe swe average</t>
  </si>
  <si>
    <t>pe raw average</t>
  </si>
  <si>
    <t>swe 45</t>
  </si>
  <si>
    <t>swe 60</t>
  </si>
  <si>
    <t>swe 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</si>
</sst>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000000"/>
    <numFmt numFmtId="165" formatCode="0.0000"/>
  </numFmts>
  <fonts count="9" x14ac:knownFonts="1">
    <font>
      <sz val="8"/>
      <color theme="1"/>
      <name val="Arial"/>
      <family val="2"/>
    </font>
    <font>
      <sz val="8"/>
      <color rgb="FFFF0000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  <font>
      <b/>
      <sz val="8"/>
      <name val="Arial"/>
      <family val="2"/>
    </font>
    <font>
      <b/>
      <sz val="8"/>
      <color rgb="FFFF0000"/>
      <name val="Arial"/>
      <family val="2"/>
    </font>
    <font>
      <b/>
      <sz val="8"/>
      <color theme="0"/>
      <name val="Arial"/>
      <family val="2"/>
    </font>
    <font>
      <b/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theme="5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theme="5"/>
      </top>
      <bottom style="thin">
        <color theme="5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medium">
        <color indexed="64"/>
      </left>
      <right/>
      <top style="thin">
        <color theme="4" tint="0.39997558519241921"/>
      </top>
      <bottom style="medium">
        <color indexed="64"/>
      </bottom>
      <diagonal/>
    </border>
    <border>
      <left/>
      <right/>
      <top style="thin">
        <color theme="4" tint="0.39997558519241921"/>
      </top>
      <bottom style="medium">
        <color indexed="64"/>
      </bottom>
      <diagonal/>
    </border>
    <border>
      <left/>
      <right style="medium">
        <color indexed="64"/>
      </right>
      <top style="thin">
        <color theme="4" tint="0.3999755851924192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theme="4" tint="0.39997558519241921"/>
      </top>
      <bottom style="medium">
        <color indexed="64"/>
      </bottom>
      <diagonal/>
    </border>
    <border>
      <left/>
      <right/>
      <top style="double">
        <color theme="4"/>
      </top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05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0" xfId="0" applyFill="1"/>
    <xf numFmtId="0" fontId="4" fillId="0" borderId="0" xfId="0" applyFont="1"/>
    <xf numFmtId="0" fontId="0" fillId="3" borderId="3" xfId="0" applyFont="1" applyFill="1" applyBorder="1"/>
    <xf numFmtId="0" fontId="0" fillId="0" borderId="3" xfId="0" applyFont="1" applyBorder="1"/>
    <xf numFmtId="0" fontId="0" fillId="0" borderId="0" xfId="0" applyBorder="1"/>
    <xf numFmtId="0" fontId="0" fillId="0" borderId="0" xfId="0" applyNumberFormat="1"/>
    <xf numFmtId="2" fontId="0" fillId="0" borderId="0" xfId="0" applyNumberFormat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7" fillId="2" borderId="3" xfId="0" applyFont="1" applyFill="1" applyBorder="1"/>
    <xf numFmtId="0" fontId="4" fillId="0" borderId="3" xfId="0" applyFont="1" applyBorder="1"/>
    <xf numFmtId="0" fontId="4" fillId="3" borderId="3" xfId="0" applyFont="1" applyFill="1" applyBorder="1"/>
    <xf numFmtId="0" fontId="5" fillId="3" borderId="3" xfId="0" applyFont="1" applyFill="1" applyBorder="1"/>
    <xf numFmtId="0" fontId="5" fillId="0" borderId="3" xfId="0" applyFont="1" applyBorder="1"/>
    <xf numFmtId="0" fontId="6" fillId="0" borderId="3" xfId="0" applyFont="1" applyBorder="1"/>
    <xf numFmtId="0" fontId="6" fillId="3" borderId="3" xfId="0" applyFont="1" applyFill="1" applyBorder="1"/>
    <xf numFmtId="0" fontId="0" fillId="0" borderId="8" xfId="0" applyNumberFormat="1" applyBorder="1"/>
    <xf numFmtId="0" fontId="0" fillId="0" borderId="0" xfId="0" applyNumberFormat="1" applyBorder="1"/>
    <xf numFmtId="0" fontId="0" fillId="0" borderId="9" xfId="0" applyNumberFormat="1" applyBorder="1"/>
    <xf numFmtId="0" fontId="0" fillId="0" borderId="10" xfId="0" applyNumberFormat="1" applyBorder="1"/>
    <xf numFmtId="0" fontId="0" fillId="0" borderId="11" xfId="0" applyNumberFormat="1" applyBorder="1"/>
    <xf numFmtId="0" fontId="0" fillId="0" borderId="12" xfId="0" applyNumberFormat="1" applyBorder="1"/>
    <xf numFmtId="0" fontId="4" fillId="0" borderId="0" xfId="0" applyNumberFormat="1" applyFont="1"/>
    <xf numFmtId="2" fontId="1" fillId="0" borderId="0" xfId="0" applyNumberFormat="1" applyFont="1"/>
    <xf numFmtId="43" fontId="0" fillId="0" borderId="0" xfId="0" applyNumberFormat="1"/>
    <xf numFmtId="0" fontId="0" fillId="0" borderId="18" xfId="0" applyBorder="1"/>
    <xf numFmtId="0" fontId="0" fillId="0" borderId="19" xfId="0" applyBorder="1"/>
    <xf numFmtId="0" fontId="0" fillId="0" borderId="18" xfId="0" applyNumberFormat="1" applyBorder="1"/>
    <xf numFmtId="0" fontId="0" fillId="0" borderId="19" xfId="0" applyNumberFormat="1" applyBorder="1"/>
    <xf numFmtId="0" fontId="4" fillId="0" borderId="19" xfId="0" applyNumberFormat="1" applyFont="1" applyBorder="1"/>
    <xf numFmtId="0" fontId="4" fillId="0" borderId="22" xfId="0" applyNumberFormat="1" applyFont="1" applyBorder="1"/>
    <xf numFmtId="0" fontId="0" fillId="0" borderId="23" xfId="0" applyFont="1" applyBorder="1"/>
    <xf numFmtId="0" fontId="0" fillId="0" borderId="24" xfId="0" applyFont="1" applyBorder="1"/>
    <xf numFmtId="0" fontId="4" fillId="0" borderId="28" xfId="0" applyFont="1" applyBorder="1"/>
    <xf numFmtId="0" fontId="0" fillId="0" borderId="25" xfId="0" applyFont="1" applyBorder="1"/>
    <xf numFmtId="0" fontId="0" fillId="0" borderId="26" xfId="0" applyFont="1" applyBorder="1"/>
    <xf numFmtId="0" fontId="0" fillId="0" borderId="27" xfId="0" applyFont="1" applyBorder="1"/>
    <xf numFmtId="2" fontId="4" fillId="0" borderId="18" xfId="0" applyNumberFormat="1" applyFont="1" applyBorder="1"/>
    <xf numFmtId="2" fontId="4" fillId="0" borderId="0" xfId="0" applyNumberFormat="1" applyFont="1" applyBorder="1"/>
    <xf numFmtId="2" fontId="4" fillId="0" borderId="20" xfId="0" applyNumberFormat="1" applyFont="1" applyBorder="1"/>
    <xf numFmtId="2" fontId="4" fillId="0" borderId="21" xfId="0" applyNumberFormat="1" applyFont="1" applyBorder="1"/>
    <xf numFmtId="0" fontId="0" fillId="3" borderId="23" xfId="0" applyFont="1" applyFill="1" applyBorder="1"/>
    <xf numFmtId="0" fontId="0" fillId="3" borderId="24" xfId="0" applyFont="1" applyFill="1" applyBorder="1"/>
    <xf numFmtId="2" fontId="0" fillId="3" borderId="23" xfId="0" applyNumberFormat="1" applyFont="1" applyFill="1" applyBorder="1"/>
    <xf numFmtId="0" fontId="7" fillId="3" borderId="30" xfId="0" applyFont="1" applyFill="1" applyBorder="1"/>
    <xf numFmtId="0" fontId="7" fillId="2" borderId="30" xfId="0" applyFont="1" applyFill="1" applyBorder="1"/>
    <xf numFmtId="2" fontId="7" fillId="2" borderId="30" xfId="0" applyNumberFormat="1" applyFont="1" applyFill="1" applyBorder="1"/>
    <xf numFmtId="0" fontId="7" fillId="2" borderId="31" xfId="0" applyFont="1" applyFill="1" applyBorder="1"/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5" fillId="0" borderId="2" xfId="0" applyFont="1" applyFill="1" applyBorder="1"/>
    <xf numFmtId="2" fontId="5" fillId="0" borderId="2" xfId="0" applyNumberFormat="1" applyFont="1" applyFill="1" applyBorder="1"/>
    <xf numFmtId="0" fontId="0" fillId="0" borderId="0" xfId="0" applyNumberFormat="1" applyFill="1"/>
    <xf numFmtId="2" fontId="0" fillId="0" borderId="0" xfId="0" applyNumberFormat="1" applyFill="1"/>
    <xf numFmtId="2" fontId="4" fillId="0" borderId="0" xfId="0" applyNumberFormat="1" applyFont="1" applyFill="1"/>
    <xf numFmtId="0" fontId="4" fillId="0" borderId="0" xfId="0" applyNumberFormat="1" applyFont="1" applyFill="1"/>
    <xf numFmtId="0" fontId="3" fillId="0" borderId="0" xfId="0" applyFont="1" applyFill="1"/>
    <xf numFmtId="0" fontId="0" fillId="0" borderId="14" xfId="0" applyFill="1" applyBorder="1"/>
    <xf numFmtId="0" fontId="5" fillId="0" borderId="13" xfId="0" applyFont="1" applyFill="1" applyBorder="1"/>
    <xf numFmtId="43" fontId="0" fillId="0" borderId="0" xfId="1" applyFont="1" applyFill="1"/>
    <xf numFmtId="2" fontId="3" fillId="0" borderId="0" xfId="0" applyNumberFormat="1" applyFont="1" applyFill="1"/>
    <xf numFmtId="165" fontId="0" fillId="0" borderId="0" xfId="0" applyNumberFormat="1" applyFill="1"/>
    <xf numFmtId="0" fontId="4" fillId="0" borderId="0" xfId="0" applyFont="1" applyFill="1"/>
    <xf numFmtId="0" fontId="5" fillId="0" borderId="0" xfId="0" applyFont="1" applyFill="1"/>
    <xf numFmtId="0" fontId="6" fillId="0" borderId="0" xfId="0" applyFont="1" applyFill="1"/>
    <xf numFmtId="0" fontId="7" fillId="0" borderId="23" xfId="0" applyFont="1" applyFill="1" applyBorder="1"/>
    <xf numFmtId="0" fontId="0" fillId="0" borderId="23" xfId="0" applyFont="1" applyFill="1" applyBorder="1"/>
    <xf numFmtId="0" fontId="4" fillId="0" borderId="23" xfId="0" applyFont="1" applyFill="1" applyBorder="1"/>
    <xf numFmtId="0" fontId="5" fillId="0" borderId="23" xfId="0" applyFont="1" applyFill="1" applyBorder="1"/>
    <xf numFmtId="0" fontId="6" fillId="0" borderId="23" xfId="0" applyFont="1" applyFill="1" applyBorder="1"/>
    <xf numFmtId="0" fontId="0" fillId="0" borderId="0" xfId="0" applyFont="1" applyFill="1"/>
    <xf numFmtId="0" fontId="8" fillId="0" borderId="0" xfId="0" applyFont="1" applyFill="1"/>
    <xf numFmtId="0" fontId="0" fillId="0" borderId="0" xfId="0" applyFill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7" fillId="0" borderId="3" xfId="0" applyFont="1" applyFill="1" applyBorder="1"/>
    <xf numFmtId="0" fontId="0" fillId="0" borderId="8" xfId="0" applyFill="1" applyBorder="1"/>
    <xf numFmtId="0" fontId="0" fillId="0" borderId="0" xfId="0" applyFill="1" applyBorder="1"/>
    <xf numFmtId="0" fontId="0" fillId="0" borderId="9" xfId="0" applyFill="1" applyBorder="1"/>
    <xf numFmtId="0" fontId="0" fillId="0" borderId="3" xfId="0" applyFont="1" applyFill="1" applyBorder="1"/>
    <xf numFmtId="0" fontId="0" fillId="0" borderId="8" xfId="0" applyNumberFormat="1" applyFill="1" applyBorder="1"/>
    <xf numFmtId="0" fontId="0" fillId="0" borderId="0" xfId="0" applyNumberFormat="1" applyFill="1" applyBorder="1"/>
    <xf numFmtId="0" fontId="0" fillId="0" borderId="9" xfId="0" applyNumberFormat="1" applyFill="1" applyBorder="1"/>
    <xf numFmtId="0" fontId="4" fillId="0" borderId="3" xfId="0" applyFont="1" applyFill="1" applyBorder="1"/>
    <xf numFmtId="0" fontId="5" fillId="0" borderId="3" xfId="0" applyFont="1" applyFill="1" applyBorder="1"/>
    <xf numFmtId="0" fontId="6" fillId="0" borderId="3" xfId="0" applyFont="1" applyFill="1" applyBorder="1"/>
    <xf numFmtId="0" fontId="0" fillId="0" borderId="10" xfId="0" applyNumberFormat="1" applyFill="1" applyBorder="1"/>
    <xf numFmtId="0" fontId="0" fillId="0" borderId="11" xfId="0" applyNumberFormat="1" applyFill="1" applyBorder="1"/>
    <xf numFmtId="164" fontId="0" fillId="0" borderId="0" xfId="0" applyNumberFormat="1" applyFill="1"/>
    <xf numFmtId="2" fontId="4" fillId="0" borderId="29" xfId="0" applyNumberFormat="1" applyFont="1" applyFill="1" applyBorder="1"/>
  </cellXfs>
  <cellStyles count="2">
    <cellStyle name="Comma" xfId="1" builtinId="3"/>
    <cellStyle name="Normal" xfId="0" builtinId="0"/>
  </cellStyles>
  <dxfs count="212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2" formatCode="0.00"/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2" formatCode="0.00"/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2" formatCode="0.00"/>
      <fill>
        <patternFill patternType="none">
          <bgColor auto="1"/>
        </patternFill>
      </fill>
    </dxf>
    <dxf>
      <numFmt numFmtId="0" formatCode="General"/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2" formatCode="0.00"/>
      <fill>
        <patternFill patternType="none">
          <bgColor auto="1"/>
        </patternFill>
      </fill>
    </dxf>
    <dxf>
      <numFmt numFmtId="2" formatCode="0.00"/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0" formatCode="General"/>
      <fill>
        <patternFill patternType="none">
          <bgColor auto="1"/>
        </patternFill>
      </fill>
      <border diagonalUp="0" diagonalDown="0" outline="0">
        <left/>
        <right style="medium">
          <color indexed="64"/>
        </right>
        <top/>
        <bottom/>
      </border>
    </dxf>
    <dxf>
      <numFmt numFmtId="0" formatCode="General"/>
      <fill>
        <patternFill patternType="none">
          <bgColor auto="1"/>
        </patternFill>
      </fill>
    </dxf>
    <dxf>
      <numFmt numFmtId="0" formatCode="General"/>
      <fill>
        <patternFill patternType="none">
          <bgColor auto="1"/>
        </patternFill>
      </fill>
    </dxf>
    <dxf>
      <numFmt numFmtId="0" formatCode="General"/>
      <fill>
        <patternFill patternType="none">
          <bgColor auto="1"/>
        </patternFill>
      </fill>
    </dxf>
    <dxf>
      <numFmt numFmtId="0" formatCode="General"/>
      <fill>
        <patternFill patternType="none">
          <bgColor auto="1"/>
        </patternFill>
      </fill>
      <border diagonalUp="0" diagonalDown="0" outline="0">
        <left style="medium">
          <color indexed="64"/>
        </left>
        <right/>
        <top/>
        <bottom/>
      </border>
    </dxf>
    <dxf>
      <numFmt numFmtId="0" formatCode="General"/>
      <fill>
        <patternFill patternType="none">
          <bgColor auto="1"/>
        </patternFill>
      </fill>
    </dxf>
    <dxf>
      <numFmt numFmtId="0" formatCode="General"/>
      <fill>
        <patternFill patternType="none">
          <bgColor auto="1"/>
        </patternFill>
      </fill>
    </dxf>
    <dxf>
      <numFmt numFmtId="0" formatCode="General"/>
      <fill>
        <patternFill patternType="none">
          <bgColor auto="1"/>
        </patternFill>
      </fill>
    </dxf>
    <dxf>
      <numFmt numFmtId="0" formatCode="General"/>
      <fill>
        <patternFill patternType="none">
          <bgColor auto="1"/>
        </patternFill>
      </fill>
    </dxf>
    <dxf>
      <numFmt numFmtId="0" formatCode="General"/>
      <fill>
        <patternFill patternType="none">
          <bgColor auto="1"/>
        </patternFill>
      </fill>
    </dxf>
    <dxf>
      <numFmt numFmtId="0" formatCode="General"/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0" formatCode="General"/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0" formatCode="General"/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0" formatCode="General"/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0" formatCode="General"/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2" formatCode="0.00"/>
      <fill>
        <patternFill patternType="none">
          <bgColor auto="1"/>
        </patternFill>
      </fill>
    </dxf>
    <dxf>
      <numFmt numFmtId="0" formatCode="General"/>
      <fill>
        <patternFill patternType="none">
          <bgColor auto="1"/>
        </patternFill>
      </fill>
    </dxf>
    <dxf>
      <numFmt numFmtId="0" formatCode="General"/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2" formatCode="0.00"/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fill>
        <patternFill patternType="none">
          <bgColor auto="1"/>
        </patternFill>
      </fill>
    </dxf>
    <dxf>
      <numFmt numFmtId="2" formatCode="0.00"/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fill>
        <patternFill patternType="none">
          <bgColor auto="1"/>
        </patternFill>
      </fill>
    </dxf>
    <dxf>
      <numFmt numFmtId="2" formatCode="0.00"/>
      <fill>
        <patternFill patternType="none">
          <bgColor auto="1"/>
        </patternFill>
      </fill>
    </dxf>
    <dxf>
      <numFmt numFmtId="0" formatCode="General"/>
      <fill>
        <patternFill patternType="none">
          <bgColor auto="1"/>
        </patternFill>
      </fill>
    </dxf>
    <dxf>
      <numFmt numFmtId="2" formatCode="0.00"/>
      <fill>
        <patternFill patternType="none">
          <bgColor auto="1"/>
        </patternFill>
      </fill>
    </dxf>
    <dxf>
      <numFmt numFmtId="2" formatCode="0.00"/>
      <fill>
        <patternFill patternType="none">
          <bgColor auto="1"/>
        </patternFill>
      </fill>
    </dxf>
    <dxf>
      <numFmt numFmtId="2" formatCode="0.00"/>
      <fill>
        <patternFill patternType="none">
          <bgColor auto="1"/>
        </patternFill>
      </fill>
    </dxf>
    <dxf>
      <numFmt numFmtId="2" formatCode="0.00"/>
      <fill>
        <patternFill patternType="none">
          <bgColor auto="1"/>
        </patternFill>
      </fill>
    </dxf>
    <dxf>
      <numFmt numFmtId="2" formatCode="0.00"/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2" formatCode="0.00"/>
      <fill>
        <patternFill patternType="none">
          <bgColor auto="1"/>
        </patternFill>
      </fill>
    </dxf>
    <dxf>
      <numFmt numFmtId="2" formatCode="0.00"/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bgColor auto="1"/>
        </patternFill>
      </fill>
    </dxf>
    <dxf>
      <numFmt numFmtId="0" formatCode="General"/>
      <fill>
        <patternFill patternType="none">
          <bgColor auto="1"/>
        </patternFill>
      </fill>
    </dxf>
    <dxf>
      <numFmt numFmtId="0" formatCode="General"/>
      <fill>
        <patternFill patternType="none">
          <bgColor auto="1"/>
        </patternFill>
      </fill>
    </dxf>
    <dxf>
      <numFmt numFmtId="0" formatCode="General"/>
      <fill>
        <patternFill patternType="none">
          <bgColor auto="1"/>
        </patternFill>
      </fill>
    </dxf>
    <dxf>
      <numFmt numFmtId="2" formatCode="0.00"/>
      <fill>
        <patternFill patternType="none"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bgColor auto="1"/>
        </patternFill>
      </fill>
    </dxf>
    <dxf>
      <numFmt numFmtId="0" formatCode="General"/>
      <fill>
        <patternFill patternType="none">
          <bgColor auto="1"/>
        </patternFill>
      </fill>
    </dxf>
    <dxf>
      <numFmt numFmtId="0" formatCode="General"/>
      <fill>
        <patternFill patternType="none">
          <bgColor auto="1"/>
        </patternFill>
      </fill>
    </dxf>
    <dxf>
      <numFmt numFmtId="0" formatCode="General"/>
      <fill>
        <patternFill patternType="none">
          <bgColor auto="1"/>
        </patternFill>
      </fill>
    </dxf>
    <dxf>
      <numFmt numFmtId="0" formatCode="General"/>
      <fill>
        <patternFill patternType="none">
          <bgColor auto="1"/>
        </patternFill>
      </fill>
    </dxf>
    <dxf>
      <numFmt numFmtId="0" formatCode="General"/>
      <fill>
        <patternFill patternType="none">
          <bgColor auto="1"/>
        </patternFill>
      </fill>
    </dxf>
    <dxf>
      <numFmt numFmtId="0" formatCode="General"/>
      <fill>
        <patternFill patternType="none">
          <bgColor auto="1"/>
        </patternFill>
      </fill>
    </dxf>
    <dxf>
      <numFmt numFmtId="0" formatCode="General"/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0" formatCode="General"/>
    </dxf>
    <dxf>
      <numFmt numFmtId="0" formatCode="General"/>
    </dxf>
    <dxf>
      <numFmt numFmtId="2" formatCode="0.00"/>
    </dxf>
    <dxf>
      <numFmt numFmtId="2" formatCode="0.00"/>
    </dxf>
    <dxf>
      <numFmt numFmtId="0" formatCode="General"/>
    </dxf>
    <dxf>
      <numFmt numFmtId="0" formatCode="General"/>
    </dxf>
    <dxf>
      <numFmt numFmtId="35" formatCode="_-* #,##0.00_-;\-* #,##0.00_-;_-* &quot;-&quot;??_-;_-@_-"/>
    </dxf>
    <dxf>
      <numFmt numFmtId="2" formatCode="0.00"/>
    </dxf>
    <dxf>
      <numFmt numFmtId="2" formatCode="0.00"/>
    </dxf>
    <dxf>
      <border outline="0">
        <left style="thin">
          <color theme="4" tint="0.39997558519241921"/>
        </left>
      </border>
    </dxf>
    <dxf>
      <border outline="0">
        <top style="thin">
          <color theme="5"/>
        </top>
      </border>
    </dxf>
    <dxf>
      <border outline="0">
        <bottom style="thin">
          <color theme="5"/>
        </bottom>
      </border>
    </dxf>
    <dxf>
      <border outline="0">
        <left style="thin">
          <color theme="4" tint="0.39997558519241921"/>
        </left>
      </border>
    </dxf>
    <dxf>
      <numFmt numFmtId="2" formatCode="0.00"/>
    </dxf>
    <dxf>
      <numFmt numFmtId="0" formatCode="General"/>
    </dxf>
    <dxf>
      <numFmt numFmtId="0" formatCode="General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fill>
        <patternFill patternType="solid">
          <fgColor theme="4" tint="0.79998168889431442"/>
          <bgColor theme="4" tint="0.79998168889431442"/>
        </patternFill>
      </fill>
      <border diagonalUp="0" diagonalDown="0">
        <left style="thin">
          <color theme="4" tint="0.39997558519241921"/>
        </left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left style="thin">
          <color theme="4" tint="0.39997558519241921"/>
        </left>
      </border>
    </dxf>
    <dxf>
      <numFmt numFmtId="0" formatCode="General"/>
      <border diagonalUp="0" diagonalDown="0">
        <left/>
        <right style="medium">
          <color indexed="64"/>
        </right>
        <top/>
        <bottom/>
        <vertical/>
        <horizontal/>
      </border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  <border diagonalUp="0" diagonalDown="0">
        <left style="medium">
          <color indexed="64"/>
        </left>
        <right/>
        <top/>
        <bottom/>
        <vertical/>
        <horizontal/>
      </border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border diagonalUp="0" diagonalDown="0">
        <left/>
        <right style="medium">
          <color indexed="64"/>
        </right>
        <top/>
        <bottom/>
        <vertical/>
        <horizontal/>
      </border>
    </dxf>
    <dxf>
      <border diagonalUp="0" diagonalDown="0">
        <left style="medium">
          <color indexed="64"/>
        </left>
        <right/>
        <top/>
        <bottom/>
        <vertical/>
        <horizontal/>
      </border>
    </dxf>
    <dxf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left style="thin">
          <color theme="4" tint="0.39997558519241921"/>
        </left>
        <top style="thin">
          <color theme="4" tint="0.39997558519241921"/>
        </top>
      </border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Arial"/>
        <scheme val="none"/>
      </font>
      <fill>
        <patternFill patternType="solid">
          <fgColor theme="4"/>
          <bgColor theme="4"/>
        </patternFill>
      </fill>
    </dxf>
    <dxf>
      <numFmt numFmtId="0" formatCode="General"/>
      <border diagonalUp="0" diagonalDown="0">
        <left/>
        <right style="thin">
          <color indexed="64"/>
        </right>
        <top/>
        <bottom/>
        <vertical/>
        <horizontal/>
      </border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  <border diagonalUp="0" diagonalDown="0">
        <left style="thin">
          <color indexed="64"/>
        </left>
        <right/>
        <top/>
        <bottom/>
        <vertical/>
        <horizontal/>
      </border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0000000}" name="Table8" displayName="Table8" ref="A1:S6" totalsRowShown="0">
  <autoFilter ref="A1:S6" xr:uid="{00000000-0009-0000-0100-000008000000}"/>
  <tableColumns count="19">
    <tableColumn id="1" xr3:uid="{00000000-0010-0000-0000-000001000000}" name="Sample" dataDxfId="211"/>
    <tableColumn id="2" xr3:uid="{00000000-0010-0000-0000-000002000000}" name="AKA" dataDxfId="210"/>
    <tableColumn id="3" xr3:uid="{00000000-0010-0000-0000-000003000000}" name="C" dataDxfId="209"/>
    <tableColumn id="4" xr3:uid="{00000000-0010-0000-0000-000004000000}" name="C2" dataDxfId="208"/>
    <tableColumn id="5" xr3:uid="{00000000-0010-0000-0000-000005000000}" name="C Average " dataDxfId="207"/>
    <tableColumn id="6" xr3:uid="{00000000-0010-0000-0000-000006000000}" name="stdev" dataDxfId="206"/>
    <tableColumn id="7" xr3:uid="{00000000-0010-0000-0000-000007000000}" name="H" dataDxfId="205"/>
    <tableColumn id="8" xr3:uid="{00000000-0010-0000-0000-000008000000}" name="H2" dataDxfId="204"/>
    <tableColumn id="9" xr3:uid="{00000000-0010-0000-0000-000009000000}" name="H Average " dataDxfId="203"/>
    <tableColumn id="10" xr3:uid="{00000000-0010-0000-0000-00000A000000}" name="stdev3" dataDxfId="202"/>
    <tableColumn id="11" xr3:uid="{00000000-0010-0000-0000-00000B000000}" name="N" dataDxfId="201"/>
    <tableColumn id="12" xr3:uid="{00000000-0010-0000-0000-00000C000000}" name="N2" dataDxfId="200"/>
    <tableColumn id="13" xr3:uid="{00000000-0010-0000-0000-00000D000000}" name="N Average " dataDxfId="199">
      <calculatedColumnFormula>AVERAGE(K2:L2)</calculatedColumnFormula>
    </tableColumn>
    <tableColumn id="14" xr3:uid="{00000000-0010-0000-0000-00000E000000}" name="STDEV5" dataDxfId="198">
      <calculatedColumnFormula>STDEV(K2:L2)</calculatedColumnFormula>
    </tableColumn>
    <tableColumn id="15" xr3:uid="{00000000-0010-0000-0000-00000F000000}" name="O" dataDxfId="197">
      <calculatedColumnFormula>100-E2-I2-M2</calculatedColumnFormula>
    </tableColumn>
    <tableColumn id="17" xr3:uid="{00000000-0010-0000-0000-000011000000}" name="H/C"/>
    <tableColumn id="18" xr3:uid="{00000000-0010-0000-0000-000012000000}" name="N/C">
      <calculatedColumnFormula>M2/E2</calculatedColumnFormula>
    </tableColumn>
    <tableColumn id="19" xr3:uid="{00000000-0010-0000-0000-000013000000}" name="O/C"/>
    <tableColumn id="20" xr3:uid="{00000000-0010-0000-0000-000014000000}" name="N/C REDUCTION (%)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9000000}" name="Table613" displayName="Table613" ref="A1:N14" totalsRowShown="0" headerRowDxfId="84" dataDxfId="83">
  <autoFilter ref="A1:N14" xr:uid="{00000000-0009-0000-0100-00000C000000}"/>
  <tableColumns count="14">
    <tableColumn id="1" xr3:uid="{00000000-0010-0000-0900-000001000000}" name="Sample" dataDxfId="98"/>
    <tableColumn id="2" xr3:uid="{00000000-0010-0000-0900-000002000000}" name="AKA" dataDxfId="97"/>
    <tableColumn id="3" xr3:uid="{00000000-0010-0000-0900-000003000000}" name="Volatile Matter A" dataDxfId="96"/>
    <tableColumn id="4" xr3:uid="{00000000-0010-0000-0900-000004000000}" name="Volatile Matter B" dataDxfId="95"/>
    <tableColumn id="5" xr3:uid="{00000000-0010-0000-0900-000005000000}" name="Volatile Matter Average" dataDxfId="94"/>
    <tableColumn id="6" xr3:uid="{00000000-0010-0000-0900-000006000000}" name="stdev" dataDxfId="93"/>
    <tableColumn id="7" xr3:uid="{00000000-0010-0000-0900-000007000000}" name="Fixed Carbon A" dataDxfId="92"/>
    <tableColumn id="8" xr3:uid="{00000000-0010-0000-0900-000008000000}" name="Fixed Carbon B" dataDxfId="91"/>
    <tableColumn id="9" xr3:uid="{00000000-0010-0000-0900-000009000000}" name="FC average" dataDxfId="90"/>
    <tableColumn id="10" xr3:uid="{00000000-0010-0000-0900-00000A000000}" name="stdev3" dataDxfId="89"/>
    <tableColumn id="11" xr3:uid="{00000000-0010-0000-0900-00000B000000}" name="Ash A" dataDxfId="88"/>
    <tableColumn id="12" xr3:uid="{00000000-0010-0000-0900-00000C000000}" name="Ash B" dataDxfId="87"/>
    <tableColumn id="13" xr3:uid="{00000000-0010-0000-0900-00000D000000}" name="Ash average" dataDxfId="86"/>
    <tableColumn id="14" xr3:uid="{00000000-0010-0000-0900-00000E000000}" name="stdev32" dataDxfId="85">
      <calculatedColumnFormula>STDEV(K2:L2)</calculatedColumnFormula>
    </tableColumn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A000000}" name="Table3" displayName="Table3" ref="A19:N32" totalsRowShown="0" headerRowDxfId="68" dataDxfId="67" tableBorderDxfId="152">
  <autoFilter ref="A19:N32" xr:uid="{00000000-0009-0000-0100-000003000000}"/>
  <tableColumns count="14">
    <tableColumn id="1" xr3:uid="{00000000-0010-0000-0A00-000001000000}" name="Sample" dataDxfId="82"/>
    <tableColumn id="2" xr3:uid="{00000000-0010-0000-0A00-000002000000}" name="Volatile Matter Average2" dataDxfId="81">
      <calculatedColumnFormula>E2</calculatedColumnFormula>
    </tableColumn>
    <tableColumn id="3" xr3:uid="{00000000-0010-0000-0A00-000003000000}" name="stdev4" dataDxfId="80">
      <calculatedColumnFormula>F2</calculatedColumnFormula>
    </tableColumn>
    <tableColumn id="4" xr3:uid="{00000000-0010-0000-0A00-000004000000}" name="FC average5" dataDxfId="79">
      <calculatedColumnFormula>I2</calculatedColumnFormula>
    </tableColumn>
    <tableColumn id="5" xr3:uid="{00000000-0010-0000-0A00-000005000000}" name="stdev36" dataDxfId="78">
      <calculatedColumnFormula>J2</calculatedColumnFormula>
    </tableColumn>
    <tableColumn id="6" xr3:uid="{00000000-0010-0000-0A00-000006000000}" name="Ash average7" dataDxfId="77">
      <calculatedColumnFormula>M2</calculatedColumnFormula>
    </tableColumn>
    <tableColumn id="7" xr3:uid="{00000000-0010-0000-0A00-000007000000}" name="stdev328" dataDxfId="76">
      <calculatedColumnFormula>N2</calculatedColumnFormula>
    </tableColumn>
    <tableColumn id="8" xr3:uid="{00000000-0010-0000-0A00-000008000000}" name="MCF" dataDxfId="75"/>
    <tableColumn id="9" xr3:uid="{00000000-0010-0000-0A00-000009000000}" name="Volatile Matter Average" dataDxfId="74">
      <calculatedColumnFormula>B20*H20</calculatedColumnFormula>
    </tableColumn>
    <tableColumn id="10" xr3:uid="{00000000-0010-0000-0A00-00000A000000}" name="stdev" dataDxfId="73">
      <calculatedColumnFormula>C20*H20</calculatedColumnFormula>
    </tableColumn>
    <tableColumn id="11" xr3:uid="{00000000-0010-0000-0A00-00000B000000}" name="FC average" dataDxfId="72">
      <calculatedColumnFormula>D20*H20</calculatedColumnFormula>
    </tableColumn>
    <tableColumn id="12" xr3:uid="{00000000-0010-0000-0A00-00000C000000}" name="stdev3" dataDxfId="71">
      <calculatedColumnFormula>E20*H20</calculatedColumnFormula>
    </tableColumn>
    <tableColumn id="13" xr3:uid="{00000000-0010-0000-0A00-00000D000000}" name="Ash average" dataDxfId="70">
      <calculatedColumnFormula>F20*H20</calculatedColumnFormula>
    </tableColumn>
    <tableColumn id="14" xr3:uid="{00000000-0010-0000-0A00-00000E000000}" name="stdev32" dataDxfId="69">
      <calculatedColumnFormula>G20*H20</calculatedColumnFormula>
    </tableColumn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B000000}" name="Table4" displayName="Table4" ref="A4:N36" totalsRowShown="0" headerRowDxfId="125" dataDxfId="124" headerRowBorderDxfId="151" tableBorderDxfId="150">
  <autoFilter ref="A4:N36" xr:uid="{00000000-0009-0000-0100-000004000000}"/>
  <tableColumns count="14">
    <tableColumn id="9" xr3:uid="{00000000-0010-0000-0B00-000009000000}" name="sample" dataDxfId="139"/>
    <tableColumn id="1" xr3:uid="{00000000-0010-0000-0B00-000001000000}" name="3.55C^2" dataDxfId="138">
      <calculatedColumnFormula>3.55*('HTC223 ultimate'!E20^2)</calculatedColumnFormula>
    </tableColumn>
    <tableColumn id="2" xr3:uid="{00000000-0010-0000-0B00-000002000000}" name="232C" dataDxfId="137">
      <calculatedColumnFormula>232*'HTC223 ultimate'!E20</calculatedColumnFormula>
    </tableColumn>
    <tableColumn id="3" xr3:uid="{00000000-0010-0000-0B00-000003000000}" name="2230H" dataDxfId="136">
      <calculatedColumnFormula>2230*'HTC223 ultimate'!I20</calculatedColumnFormula>
    </tableColumn>
    <tableColumn id="4" xr3:uid="{00000000-0010-0000-0B00-000004000000}" name="51.2C*H" dataDxfId="135">
      <calculatedColumnFormula>(51.2*'HTC223 ultimate'!E20)*('HTC223 ultimate'!I20)</calculatedColumnFormula>
    </tableColumn>
    <tableColumn id="5" xr3:uid="{00000000-0010-0000-0B00-000005000000}" name="131N" dataDxfId="134">
      <calculatedColumnFormula>131*'HTC223 ultimate'!N20</calculatedColumnFormula>
    </tableColumn>
    <tableColumn id="6" xr3:uid="{00000000-0010-0000-0B00-000006000000}" name="20600" dataDxfId="133">
      <calculatedColumnFormula>Table4[[#Headers],[20600]]</calculatedColumnFormula>
    </tableColumn>
    <tableColumn id="7" xr3:uid="{00000000-0010-0000-0B00-000007000000}" name="HHV kJ/kg" dataDxfId="132">
      <calculatedColumnFormula>B5-C5-D5+E5+F5+G5</calculatedColumnFormula>
    </tableColumn>
    <tableColumn id="8" xr3:uid="{00000000-0010-0000-0B00-000008000000}" name="HHV MJ/kg ar" dataDxfId="131">
      <calculatedColumnFormula>Table4[[#This Row],[HHV kJ/kg]]/1000</calculatedColumnFormula>
    </tableColumn>
    <tableColumn id="14" xr3:uid="{00000000-0010-0000-0B00-00000E000000}" name="HHV MJ/kg db" dataDxfId="130"/>
    <tableColumn id="10" xr3:uid="{00000000-0010-0000-0B00-00000A000000}" name="AVERAGE HHV (as received basis)" dataDxfId="129">
      <calculatedColumnFormula>AVERAGE(Table4[[#This Row],[HHV MJ/kg ar]],I9)</calculatedColumnFormula>
    </tableColumn>
    <tableColumn id="11" xr3:uid="{00000000-0010-0000-0B00-00000B000000}" name="STDEV" dataDxfId="128">
      <calculatedColumnFormula>STDEV(Table4[[#This Row],[HHV MJ/kg ar]],I9)</calculatedColumnFormula>
    </tableColumn>
    <tableColumn id="12" xr3:uid="{00000000-0010-0000-0B00-00000C000000}" name="AVERAGE HHV (DRY BASIS)" dataDxfId="127"/>
    <tableColumn id="13" xr3:uid="{00000000-0010-0000-0B00-00000D000000}" name="STDEV2" dataDxfId="126"/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C000000}" name="Table1" displayName="Table1" ref="A64:K93" totalsRowCount="1" headerRowDxfId="101" dataDxfId="99" totalsRowDxfId="100" tableBorderDxfId="149">
  <autoFilter ref="A64:K92" xr:uid="{00000000-0009-0000-0100-000001000000}"/>
  <tableColumns count="11">
    <tableColumn id="1" xr3:uid="{00000000-0010-0000-0C00-000001000000}" name="sample" totalsRowFunction="custom" dataDxfId="123" totalsRowDxfId="122">
      <totalsRowFormula>A31</totalsRowFormula>
    </tableColumn>
    <tableColumn id="2" xr3:uid="{00000000-0010-0000-0C00-000002000000}" name="Solid yield" dataDxfId="121" totalsRowDxfId="120"/>
    <tableColumn id="3" xr3:uid="{00000000-0010-0000-0C00-000003000000}" name="HHV HC (AR)" dataDxfId="119" totalsRowDxfId="118"/>
    <tableColumn id="4" xr3:uid="{00000000-0010-0000-0C00-000004000000}" name="HHV RAW (AR) " dataDxfId="117" totalsRowDxfId="116">
      <calculatedColumnFormula>I5</calculatedColumnFormula>
    </tableColumn>
    <tableColumn id="5" xr3:uid="{00000000-0010-0000-0C00-000005000000}" name="HHV HC/ HHV RAW (AR)" dataDxfId="115" totalsRowDxfId="114">
      <calculatedColumnFormula>Table1[[#This Row],[HHV HC (AR)]]/Table1[[#This Row],[HHV RAW (AR) ]]</calculatedColumnFormula>
    </tableColumn>
    <tableColumn id="6" xr3:uid="{00000000-0010-0000-0C00-000006000000}" name="Energy Yield (AR)" dataDxfId="113" totalsRowDxfId="112">
      <calculatedColumnFormula>Table1[[#This Row],[Solid yield]]*Table1[[#This Row],[HHV HC/ HHV RAW (AR)]]</calculatedColumnFormula>
    </tableColumn>
    <tableColumn id="7" xr3:uid="{00000000-0010-0000-0C00-000007000000}" name="HHV HC DB" dataDxfId="111" totalsRowDxfId="110">
      <calculatedColumnFormula>J5</calculatedColumnFormula>
    </tableColumn>
    <tableColumn id="9" xr3:uid="{00000000-0010-0000-0C00-000009000000}" name="HHV RAW DB" dataDxfId="109" totalsRowDxfId="108"/>
    <tableColumn id="8" xr3:uid="{00000000-0010-0000-0C00-000008000000}" name="HHV HC/ HHV RAW DB" dataDxfId="107" totalsRowDxfId="106">
      <calculatedColumnFormula>Table1[[#This Row],[HHV HC DB]]/Table1[[#This Row],[HHV RAW DB]]</calculatedColumnFormula>
    </tableColumn>
    <tableColumn id="11" xr3:uid="{00000000-0010-0000-0C00-00000B000000}" name="SY DB" dataDxfId="105" totalsRowDxfId="104"/>
    <tableColumn id="10" xr3:uid="{00000000-0010-0000-0C00-00000A000000}" name="EY DB" dataDxfId="103" totalsRowDxfId="102">
      <calculatedColumnFormula>Table1[[#This Row],[SY DB]]*Table1[[#This Row],[HHV HC/ HHV RAW DB]]</calculatedColumnFormula>
    </tableColumn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D000000}" name="Table2" displayName="Table2" ref="A2:M18" totalsRowShown="0">
  <autoFilter ref="A2:M18" xr:uid="{00000000-0009-0000-0100-000002000000}"/>
  <tableColumns count="13">
    <tableColumn id="1" xr3:uid="{00000000-0010-0000-0D00-000001000000}" name="Sample"/>
    <tableColumn id="2" xr3:uid="{00000000-0010-0000-0D00-000002000000}" name="HHV (AR) MJ/kg" dataDxfId="148"/>
    <tableColumn id="3" xr3:uid="{00000000-0010-0000-0D00-000003000000}" name="stdev HHV (AR)" dataDxfId="147"/>
    <tableColumn id="4" xr3:uid="{00000000-0010-0000-0D00-000004000000}" name="N/C (AR)"/>
    <tableColumn id="5" xr3:uid="{00000000-0010-0000-0D00-000005000000}" name="STDEV N/C (AR)"/>
    <tableColumn id="6" xr3:uid="{00000000-0010-0000-0D00-000006000000}" name="Energy Yield (AR)"/>
    <tableColumn id="7" xr3:uid="{00000000-0010-0000-0D00-000007000000}" name="STDEV Energy yield (AR)"/>
    <tableColumn id="8" xr3:uid="{00000000-0010-0000-0D00-000008000000}" name="Solid Yield"/>
    <tableColumn id="9" xr3:uid="{00000000-0010-0000-0D00-000009000000}" name="STDEV solid yield (AR)2" dataDxfId="146"/>
    <tableColumn id="10" xr3:uid="{00000000-0010-0000-0D00-00000A000000}" name="H/C (AR)" dataDxfId="145"/>
    <tableColumn id="13" xr3:uid="{00000000-0010-0000-0D00-00000D000000}" name="STDEV H/C (AR)" dataDxfId="144">
      <calculatedColumnFormula>STDEV('HTC223 ultimate'!F54,'HTC223 ultimate'!F57)</calculatedColumnFormula>
    </tableColumn>
    <tableColumn id="12" xr3:uid="{00000000-0010-0000-0D00-00000C000000}" name="O/C"/>
    <tableColumn id="15" xr3:uid="{00000000-0010-0000-0D00-00000F000000}" name="STDEV O/C (AR)"/>
  </tableColumns>
  <tableStyleInfo name="TableStyleMedium2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E000000}" name="Table210" displayName="Table210" ref="A23:G39" totalsRowShown="0">
  <autoFilter ref="A23:G39" xr:uid="{00000000-0009-0000-0100-000009000000}"/>
  <tableColumns count="7">
    <tableColumn id="1" xr3:uid="{00000000-0010-0000-0E00-000001000000}" name="Sample"/>
    <tableColumn id="2" xr3:uid="{00000000-0010-0000-0E00-000002000000}" name="HHV (DB) MJ/kg" dataDxfId="143"/>
    <tableColumn id="3" xr3:uid="{00000000-0010-0000-0E00-000003000000}" name="CI HHV DB" dataDxfId="142">
      <calculatedColumnFormula>_xlfn.CONFIDENCE.T(0.05, C3, 4)</calculatedColumnFormula>
    </tableColumn>
    <tableColumn id="4" xr3:uid="{00000000-0010-0000-0E00-000004000000}" name="N/C" dataDxfId="141">
      <calculatedColumnFormula>D3</calculatedColumnFormula>
    </tableColumn>
    <tableColumn id="5" xr3:uid="{00000000-0010-0000-0E00-000005000000}" name="STDEV N/C " dataDxfId="140">
      <calculatedColumnFormula>E3</calculatedColumnFormula>
    </tableColumn>
    <tableColumn id="6" xr3:uid="{00000000-0010-0000-0E00-000006000000}" name="Energy Yield (DB)"/>
    <tableColumn id="7" xr3:uid="{00000000-0010-0000-0E00-000007000000}" name="sem Energy yield db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1000000}" name="Table711" displayName="Table711" ref="B13:N24" totalsRowShown="0">
  <autoFilter ref="B13:N24" xr:uid="{00000000-0009-0000-0100-00000A000000}"/>
  <tableColumns count="13">
    <tableColumn id="25" xr3:uid="{00000000-0010-0000-0100-000019000000}" name="AKA" dataDxfId="196"/>
    <tableColumn id="1" xr3:uid="{00000000-0010-0000-0100-000001000000}" name="C (As received)">
      <calculatedColumnFormula>#REF!</calculatedColumnFormula>
    </tableColumn>
    <tableColumn id="2" xr3:uid="{00000000-0010-0000-0100-000002000000}" name="H (As received)" dataDxfId="195">
      <calculatedColumnFormula>#REF!</calculatedColumnFormula>
    </tableColumn>
    <tableColumn id="3" xr3:uid="{00000000-0010-0000-0100-000003000000}" name="N (As received)" dataDxfId="194">
      <calculatedColumnFormula>#REF!</calculatedColumnFormula>
    </tableColumn>
    <tableColumn id="4" xr3:uid="{00000000-0010-0000-0100-000004000000}" name="O (difference)" dataDxfId="193">
      <calculatedColumnFormula>#REF!</calculatedColumnFormula>
    </tableColumn>
    <tableColumn id="12" xr3:uid="{00000000-0010-0000-0100-00000C000000}" name="H/C" dataDxfId="192">
      <calculatedColumnFormula>#REF!</calculatedColumnFormula>
    </tableColumn>
    <tableColumn id="11" xr3:uid="{00000000-0010-0000-0100-00000B000000}" name="N/C" dataDxfId="191">
      <calculatedColumnFormula>Q2</calculatedColumnFormula>
    </tableColumn>
    <tableColumn id="10" xr3:uid="{00000000-0010-0000-0100-00000A000000}" name="O/C" dataDxfId="190">
      <calculatedColumnFormula>R2</calculatedColumnFormula>
    </tableColumn>
    <tableColumn id="5" xr3:uid="{00000000-0010-0000-0100-000005000000}" name="C (dry basis)" dataDxfId="189">
      <calculatedColumnFormula>Table711[[#This Row],[C (As received)]]*Table711[[#This Row],[100/(100*Moisture content as received)]]</calculatedColumnFormula>
    </tableColumn>
    <tableColumn id="6" xr3:uid="{00000000-0010-0000-0100-000006000000}" name="H (dry basis)" dataDxfId="188">
      <calculatedColumnFormula>Table711[[#This Row],[H (As received)]]*Table711[[#This Row],[100/(100*Moisture content as received)]]</calculatedColumnFormula>
    </tableColumn>
    <tableColumn id="7" xr3:uid="{00000000-0010-0000-0100-000007000000}" name="N(dry basis)" dataDxfId="187">
      <calculatedColumnFormula>Table711[[#This Row],[N (As received)]]*Table711[[#This Row],[100/(100*Moisture content as received)]]</calculatedColumnFormula>
    </tableColumn>
    <tableColumn id="8" xr3:uid="{00000000-0010-0000-0100-000008000000}" name="O (dry basis)" dataDxfId="186">
      <calculatedColumnFormula>100-Table711[[#This Row],[N(dry basis)]]-Table711[[#This Row],[H (dry basis)]]-Table711[[#This Row],[C (dry basis)]]</calculatedColumnFormula>
    </tableColumn>
    <tableColumn id="9" xr3:uid="{00000000-0010-0000-0100-000009000000}" name="100/(100*Moisture content as received)" dataDxfId="185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2000000}" name="Table15" displayName="Table15" ref="A27:L31" totalsRowShown="0" headerRowDxfId="184" headerRowBorderDxfId="183" tableBorderDxfId="182">
  <autoFilter ref="A27:L31" xr:uid="{00000000-0009-0000-0100-00000F000000}"/>
  <tableColumns count="12">
    <tableColumn id="1" xr3:uid="{00000000-0010-0000-0200-000001000000}" name="sample">
      <calculatedColumnFormula>A15</calculatedColumnFormula>
    </tableColumn>
    <tableColumn id="2" xr3:uid="{00000000-0010-0000-0200-000002000000}" name="3.55C^2" dataDxfId="181">
      <calculatedColumnFormula>3.55*J15^2</calculatedColumnFormula>
    </tableColumn>
    <tableColumn id="3" xr3:uid="{00000000-0010-0000-0200-000003000000}" name="232C" dataDxfId="180">
      <calculatedColumnFormula>232*J15</calculatedColumnFormula>
    </tableColumn>
    <tableColumn id="4" xr3:uid="{00000000-0010-0000-0200-000004000000}" name="2230H" dataDxfId="179">
      <calculatedColumnFormula>2230*K15</calculatedColumnFormula>
    </tableColumn>
    <tableColumn id="5" xr3:uid="{00000000-0010-0000-0200-000005000000}" name="51.2C*H" dataDxfId="178">
      <calculatedColumnFormula>51.2*J15*K15</calculatedColumnFormula>
    </tableColumn>
    <tableColumn id="6" xr3:uid="{00000000-0010-0000-0200-000006000000}" name="131N" dataDxfId="177">
      <calculatedColumnFormula>131*L15</calculatedColumnFormula>
    </tableColumn>
    <tableColumn id="7" xr3:uid="{00000000-0010-0000-0200-000007000000}" name="20600">
      <calculatedColumnFormula>20600</calculatedColumnFormula>
    </tableColumn>
    <tableColumn id="8" xr3:uid="{00000000-0010-0000-0200-000008000000}" name="HHV kJ/kg">
      <calculatedColumnFormula>B28-C28-D28+E28+F28+G28</calculatedColumnFormula>
    </tableColumn>
    <tableColumn id="9" xr3:uid="{00000000-0010-0000-0200-000009000000}" name="HHV MJ/kg db">
      <calculatedColumnFormula>Table15[[#This Row],[HHV kJ/kg]]/1000</calculatedColumnFormula>
    </tableColumn>
    <tableColumn id="10" xr3:uid="{00000000-0010-0000-0200-00000A000000}" name="AVERAGE HHV (as received basis)"/>
    <tableColumn id="11" xr3:uid="{00000000-0010-0000-0200-00000B000000}" name="stdev" dataDxfId="176"/>
    <tableColumn id="12" xr3:uid="{00000000-0010-0000-0200-00000C000000}" name="ci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3000000}" name="Table5" displayName="Table5" ref="A1:T75" totalsRowShown="0">
  <autoFilter ref="A1:T75" xr:uid="{00000000-0009-0000-0100-000005000000}"/>
  <tableColumns count="20">
    <tableColumn id="1" xr3:uid="{00000000-0010-0000-0300-000001000000}" name="Sample"/>
    <tableColumn id="2" xr3:uid="{00000000-0010-0000-0300-000002000000}" name="AKA"/>
    <tableColumn id="3" xr3:uid="{00000000-0010-0000-0300-000003000000}" name="C"/>
    <tableColumn id="4" xr3:uid="{00000000-0010-0000-0300-000004000000}" name="Column1"/>
    <tableColumn id="5" xr3:uid="{00000000-0010-0000-0300-000005000000}" name="C Average " dataDxfId="175"/>
    <tableColumn id="6" xr3:uid="{00000000-0010-0000-0300-000006000000}" name="stdev"/>
    <tableColumn id="7" xr3:uid="{00000000-0010-0000-0300-000007000000}" name="H"/>
    <tableColumn id="8" xr3:uid="{00000000-0010-0000-0300-000008000000}" name="Column2"/>
    <tableColumn id="9" xr3:uid="{00000000-0010-0000-0300-000009000000}" name="H Average " dataDxfId="174"/>
    <tableColumn id="10" xr3:uid="{00000000-0010-0000-0300-00000A000000}" name="stdev3"/>
    <tableColumn id="11" xr3:uid="{00000000-0010-0000-0300-00000B000000}" name="N"/>
    <tableColumn id="12" xr3:uid="{00000000-0010-0000-0300-00000C000000}" name="Column4"/>
    <tableColumn id="13" xr3:uid="{00000000-0010-0000-0300-00000D000000}" name="N Average " dataDxfId="173"/>
    <tableColumn id="14" xr3:uid="{00000000-0010-0000-0300-00000E000000}" name="STDEV5"/>
    <tableColumn id="15" xr3:uid="{00000000-0010-0000-0300-00000F000000}" name="O" dataDxfId="172"/>
    <tableColumn id="16" xr3:uid="{00000000-0010-0000-0300-000010000000}" name="Column6"/>
    <tableColumn id="17" xr3:uid="{00000000-0010-0000-0300-000011000000}" name="H/C" dataDxfId="171"/>
    <tableColumn id="18" xr3:uid="{00000000-0010-0000-0300-000012000000}" name="N/C"/>
    <tableColumn id="19" xr3:uid="{00000000-0010-0000-0300-000013000000}" name="O/C" dataDxfId="170"/>
    <tableColumn id="20" xr3:uid="{00000000-0010-0000-0300-000014000000}" name="N/C REDUCTION (%)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4000000}" name="Table712" displayName="Table712" ref="B80:M151" totalsRowShown="0">
  <autoFilter ref="B80:M151" xr:uid="{00000000-0009-0000-0100-00000B000000}"/>
  <tableColumns count="12">
    <tableColumn id="1" xr3:uid="{00000000-0010-0000-0400-000001000000}" name="C (As received)">
      <calculatedColumnFormula>E5</calculatedColumnFormula>
    </tableColumn>
    <tableColumn id="2" xr3:uid="{00000000-0010-0000-0400-000002000000}" name="H (As received)" dataDxfId="169">
      <calculatedColumnFormula>I5</calculatedColumnFormula>
    </tableColumn>
    <tableColumn id="3" xr3:uid="{00000000-0010-0000-0400-000003000000}" name="N (As received)" dataDxfId="168">
      <calculatedColumnFormula>M5</calculatedColumnFormula>
    </tableColumn>
    <tableColumn id="4" xr3:uid="{00000000-0010-0000-0400-000004000000}" name="O (difference)" dataDxfId="167">
      <calculatedColumnFormula>O5</calculatedColumnFormula>
    </tableColumn>
    <tableColumn id="12" xr3:uid="{00000000-0010-0000-0400-00000C000000}" name="H/C" dataDxfId="166">
      <calculatedColumnFormula>P5</calculatedColumnFormula>
    </tableColumn>
    <tableColumn id="11" xr3:uid="{00000000-0010-0000-0400-00000B000000}" name="N/C" dataDxfId="165">
      <calculatedColumnFormula>Q5</calculatedColumnFormula>
    </tableColumn>
    <tableColumn id="10" xr3:uid="{00000000-0010-0000-0400-00000A000000}" name="O/C" dataDxfId="164">
      <calculatedColumnFormula>R5</calculatedColumnFormula>
    </tableColumn>
    <tableColumn id="5" xr3:uid="{00000000-0010-0000-0400-000005000000}" name="C (dry basis)" dataDxfId="163">
      <calculatedColumnFormula>Table712[[#This Row],[C (As received)]]*Table712[[#This Row],[100/(100*Moisture content as received)]]</calculatedColumnFormula>
    </tableColumn>
    <tableColumn id="6" xr3:uid="{00000000-0010-0000-0400-000006000000}" name="H (dry basis)" dataDxfId="162">
      <calculatedColumnFormula>Table712[[#This Row],[H (As received)]]*Table712[[#This Row],[100/(100*Moisture content as received)]]</calculatedColumnFormula>
    </tableColumn>
    <tableColumn id="7" xr3:uid="{00000000-0010-0000-0400-000007000000}" name="N(dry basis)" dataDxfId="161">
      <calculatedColumnFormula>Table712[[#This Row],[N (As received)]]*Table712[[#This Row],[100/(100*Moisture content as received)]]</calculatedColumnFormula>
    </tableColumn>
    <tableColumn id="8" xr3:uid="{00000000-0010-0000-0400-000008000000}" name="O (dry basis)" dataDxfId="160">
      <calculatedColumnFormula>100-Table712[[#This Row],[N(dry basis)]]-Table712[[#This Row],[H (dry basis)]]-Table712[[#This Row],[C (dry basis)]]</calculatedColumnFormula>
    </tableColumn>
    <tableColumn id="9" xr3:uid="{00000000-0010-0000-0400-000009000000}" name="100/(100*Moisture content as received)" dataDxfId="159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5000000}" name="Table14" displayName="Table14" ref="A159:L230" insertRowShift="1" totalsRowShown="0" tableBorderDxfId="158">
  <autoFilter ref="A159:L230" xr:uid="{00000000-0009-0000-0100-00000E000000}"/>
  <tableColumns count="12">
    <tableColumn id="1" xr3:uid="{00000000-0010-0000-0500-000001000000}" name="sample" dataDxfId="157">
      <calculatedColumnFormula>A81</calculatedColumnFormula>
    </tableColumn>
    <tableColumn id="2" xr3:uid="{00000000-0010-0000-0500-000002000000}" name="3.55C^2">
      <calculatedColumnFormula>3.55*I81^2</calculatedColumnFormula>
    </tableColumn>
    <tableColumn id="3" xr3:uid="{00000000-0010-0000-0500-000003000000}" name="232C">
      <calculatedColumnFormula>232*I81</calculatedColumnFormula>
    </tableColumn>
    <tableColumn id="4" xr3:uid="{00000000-0010-0000-0500-000004000000}" name="2230H">
      <calculatedColumnFormula>2230*J81</calculatedColumnFormula>
    </tableColumn>
    <tableColumn id="5" xr3:uid="{00000000-0010-0000-0500-000005000000}" name="51.2C*H" dataDxfId="156">
      <calculatedColumnFormula>51.2*I81*J81</calculatedColumnFormula>
    </tableColumn>
    <tableColumn id="6" xr3:uid="{00000000-0010-0000-0500-000006000000}" name="131N" dataDxfId="155">
      <calculatedColumnFormula>131*K81</calculatedColumnFormula>
    </tableColumn>
    <tableColumn id="7" xr3:uid="{00000000-0010-0000-0500-000007000000}" name="20600" dataDxfId="154">
      <calculatedColumnFormula>20600</calculatedColumnFormula>
    </tableColumn>
    <tableColumn id="8" xr3:uid="{00000000-0010-0000-0500-000008000000}" name="HHV kJ/kg">
      <calculatedColumnFormula>B160-C160-D160+E160+F160+G160</calculatedColumnFormula>
    </tableColumn>
    <tableColumn id="9" xr3:uid="{00000000-0010-0000-0500-000009000000}" name="HHV MJ/kg db" dataDxfId="153">
      <calculatedColumnFormula>Table14[[#This Row],[HHV kJ/kg]]/1000</calculatedColumnFormula>
    </tableColumn>
    <tableColumn id="11" xr3:uid="{00000000-0010-0000-0500-00000B000000}" name="AVERAGE HHV (as received basis)"/>
    <tableColumn id="12" xr3:uid="{00000000-0010-0000-0500-00000C000000}" name="stdev"/>
    <tableColumn id="13" xr3:uid="{00000000-0010-0000-0500-00000D000000}" name="ci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6000000}" name="Table6" displayName="Table6" ref="A1:V32" totalsRowShown="0" headerRowDxfId="44" dataDxfId="43">
  <autoFilter ref="A1:V32" xr:uid="{00000000-0009-0000-0100-000006000000}"/>
  <tableColumns count="22">
    <tableColumn id="1" xr3:uid="{00000000-0010-0000-0600-000001000000}" name="Sample" dataDxfId="66"/>
    <tableColumn id="2" xr3:uid="{00000000-0010-0000-0600-000002000000}" name="AKA" dataDxfId="65"/>
    <tableColumn id="3" xr3:uid="{00000000-0010-0000-0600-000003000000}" name="C" dataDxfId="64"/>
    <tableColumn id="4" xr3:uid="{00000000-0010-0000-0600-000004000000}" name="C2" dataDxfId="63"/>
    <tableColumn id="5" xr3:uid="{00000000-0010-0000-0600-000005000000}" name="C Average " dataDxfId="62"/>
    <tableColumn id="6" xr3:uid="{00000000-0010-0000-0600-000006000000}" name="stdev" dataDxfId="61"/>
    <tableColumn id="7" xr3:uid="{00000000-0010-0000-0600-000007000000}" name="H" dataDxfId="60"/>
    <tableColumn id="8" xr3:uid="{00000000-0010-0000-0600-000008000000}" name="H2" dataDxfId="59"/>
    <tableColumn id="9" xr3:uid="{00000000-0010-0000-0600-000009000000}" name="H Average " dataDxfId="58"/>
    <tableColumn id="10" xr3:uid="{00000000-0010-0000-0600-00000A000000}" name="stdev3" dataDxfId="57"/>
    <tableColumn id="21" xr3:uid="{00000000-0010-0000-0600-000015000000}" name="SEM2" dataDxfId="56">
      <calculatedColumnFormula>Table6[[#This Row],[stdev3]]/SQRT(2)</calculatedColumnFormula>
    </tableColumn>
    <tableColumn id="11" xr3:uid="{00000000-0010-0000-0600-00000B000000}" name="N" dataDxfId="55"/>
    <tableColumn id="12" xr3:uid="{00000000-0010-0000-0600-00000C000000}" name="N2" dataDxfId="54"/>
    <tableColumn id="13" xr3:uid="{00000000-0010-0000-0600-00000D000000}" name="N Average " dataDxfId="53"/>
    <tableColumn id="14" xr3:uid="{00000000-0010-0000-0600-00000E000000}" name="STDEV5" dataDxfId="52"/>
    <tableColumn id="22" xr3:uid="{00000000-0010-0000-0600-000016000000}" name="SEM3" dataDxfId="51">
      <calculatedColumnFormula>Table6[[#This Row],[STDEV5]]/SQRT(2)</calculatedColumnFormula>
    </tableColumn>
    <tableColumn id="15" xr3:uid="{00000000-0010-0000-0600-00000F000000}" name="O" dataDxfId="50"/>
    <tableColumn id="23" xr3:uid="{00000000-0010-0000-0600-000017000000}" name="Column1" dataDxfId="49"/>
    <tableColumn id="16" xr3:uid="{00000000-0010-0000-0600-000010000000}" name="H/C" dataDxfId="48"/>
    <tableColumn id="17" xr3:uid="{00000000-0010-0000-0600-000011000000}" name="N/C" dataDxfId="47"/>
    <tableColumn id="18" xr3:uid="{00000000-0010-0000-0600-000012000000}" name="O/C" dataDxfId="46"/>
    <tableColumn id="19" xr3:uid="{00000000-0010-0000-0600-000013000000}" name="N/C REDUCTION (%)" dataDxfId="45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7000000}" name="Table7" displayName="Table7" ref="B35:M60" totalsRowShown="0" headerRowDxfId="30" dataDxfId="29">
  <autoFilter ref="B35:M60" xr:uid="{00000000-0009-0000-0100-000007000000}"/>
  <tableColumns count="12">
    <tableColumn id="1" xr3:uid="{00000000-0010-0000-0700-000001000000}" name="C (As received)" dataDxfId="42">
      <calculatedColumnFormula>E2</calculatedColumnFormula>
    </tableColumn>
    <tableColumn id="2" xr3:uid="{00000000-0010-0000-0700-000002000000}" name="H (As received)" dataDxfId="41">
      <calculatedColumnFormula>I2</calculatedColumnFormula>
    </tableColumn>
    <tableColumn id="3" xr3:uid="{00000000-0010-0000-0700-000003000000}" name="N (As received)" dataDxfId="40">
      <calculatedColumnFormula>N2</calculatedColumnFormula>
    </tableColumn>
    <tableColumn id="4" xr3:uid="{00000000-0010-0000-0700-000004000000}" name="O (difference)" dataDxfId="39">
      <calculatedColumnFormula>Q2</calculatedColumnFormula>
    </tableColumn>
    <tableColumn id="12" xr3:uid="{00000000-0010-0000-0700-00000C000000}" name="H/C" dataDxfId="38">
      <calculatedColumnFormula>S2</calculatedColumnFormula>
    </tableColumn>
    <tableColumn id="11" xr3:uid="{00000000-0010-0000-0700-00000B000000}" name="N/C" dataDxfId="37">
      <calculatedColumnFormula>T2</calculatedColumnFormula>
    </tableColumn>
    <tableColumn id="10" xr3:uid="{00000000-0010-0000-0700-00000A000000}" name="O/C" dataDxfId="36">
      <calculatedColumnFormula>U2</calculatedColumnFormula>
    </tableColumn>
    <tableColumn id="5" xr3:uid="{00000000-0010-0000-0700-000005000000}" name="C (dry basis)" dataDxfId="35">
      <calculatedColumnFormula>Table7[[#This Row],[C (As received)]]*Table7[[#This Row],[100/(100*Moisture content as received)]]</calculatedColumnFormula>
    </tableColumn>
    <tableColumn id="6" xr3:uid="{00000000-0010-0000-0700-000006000000}" name="H (dry basis)" dataDxfId="34">
      <calculatedColumnFormula>Table7[[#This Row],[H (As received)]]*Table7[[#This Row],[100/(100*Moisture content as received)]]</calculatedColumnFormula>
    </tableColumn>
    <tableColumn id="7" xr3:uid="{00000000-0010-0000-0700-000007000000}" name="N(dry basis)" dataDxfId="33">
      <calculatedColumnFormula>Table7[[#This Row],[N (As received)]]*Table7[[#This Row],[100/(100*Moisture content as received)]]</calculatedColumnFormula>
    </tableColumn>
    <tableColumn id="8" xr3:uid="{00000000-0010-0000-0700-000008000000}" name="O (dry basis)" dataDxfId="32">
      <calculatedColumnFormula>100-Table7[[#This Row],[N(dry basis)]]-Table7[[#This Row],[H (dry basis)]]-Table7[[#This Row],[C (dry basis)]]</calculatedColumnFormula>
    </tableColumn>
    <tableColumn id="9" xr3:uid="{00000000-0010-0000-0700-000009000000}" name="100/(100*Moisture content as received)" dataDxfId="31">
      <calculatedColumnFormula>100/(100-6.71)</calculatedColumnFormula>
    </tableColumn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8000000}" name="Table13" displayName="Table13" ref="H63:T78" totalsRowCount="1" headerRowDxfId="2" dataDxfId="0" totalsRowDxfId="1">
  <autoFilter ref="H63:T77" xr:uid="{00000000-0009-0000-0100-00000D000000}"/>
  <tableColumns count="13">
    <tableColumn id="1" xr3:uid="{00000000-0010-0000-0800-000001000000}" name="Column1" totalsRowLabel="PE RAW" dataDxfId="28" totalsRowDxfId="27"/>
    <tableColumn id="2" xr3:uid="{00000000-0010-0000-0800-000002000000}" name="C" totalsRowFunction="custom" dataDxfId="26" totalsRowDxfId="25">
      <totalsRowFormula>'PE ultimate'!J20</totalsRowFormula>
    </tableColumn>
    <tableColumn id="3" xr3:uid="{00000000-0010-0000-0800-000003000000}" name="SEM" dataDxfId="24" totalsRowDxfId="23"/>
    <tableColumn id="13" xr3:uid="{00000000-0010-0000-0800-00000D000000}" name="CI" totalsRowFunction="custom" dataDxfId="22" totalsRowDxfId="21">
      <totalsRowFormula>_xlfn.T.TEST(C3:D3,C6:D6,2,3)</totalsRowFormula>
    </tableColumn>
    <tableColumn id="4" xr3:uid="{00000000-0010-0000-0800-000004000000}" name="H" totalsRowFunction="custom" dataDxfId="20" totalsRowDxfId="19">
      <calculatedColumnFormula>AVERAGE(J36,J39)</calculatedColumnFormula>
      <totalsRowFormula>'PE ultimate'!K20</totalsRowFormula>
    </tableColumn>
    <tableColumn id="5" xr3:uid="{00000000-0010-0000-0800-000005000000}" name="Stdev3" dataDxfId="18" totalsRowDxfId="17"/>
    <tableColumn id="14" xr3:uid="{00000000-0010-0000-0800-00000E000000}" name="SEM2" dataDxfId="16" totalsRowDxfId="15"/>
    <tableColumn id="6" xr3:uid="{00000000-0010-0000-0800-000006000000}" name="N" totalsRowFunction="custom" dataDxfId="14" totalsRowDxfId="13">
      <totalsRowFormula>'PE ultimate'!L20</totalsRowFormula>
    </tableColumn>
    <tableColumn id="7" xr3:uid="{00000000-0010-0000-0800-000007000000}" name="Stdev4" dataDxfId="12" totalsRowDxfId="11"/>
    <tableColumn id="15" xr3:uid="{00000000-0010-0000-0800-00000F000000}" name="ci2" dataDxfId="10" totalsRowDxfId="9"/>
    <tableColumn id="8" xr3:uid="{00000000-0010-0000-0800-000008000000}" name="O" totalsRowFunction="custom" dataDxfId="8" totalsRowDxfId="7">
      <totalsRowFormula>'PE ultimate'!M20</totalsRowFormula>
    </tableColumn>
    <tableColumn id="9" xr3:uid="{00000000-0010-0000-0800-000009000000}" name="stdev2" dataDxfId="6" totalsRowDxfId="5"/>
    <tableColumn id="16" xr3:uid="{00000000-0010-0000-0800-000010000000}" name="ci3" dataDxfId="4" totalsRowDxfId="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table" Target="../tables/table5.xml"/><Relationship Id="rId1" Type="http://schemas.openxmlformats.org/officeDocument/2006/relationships/table" Target="../tables/table4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9.xml"/><Relationship Id="rId2" Type="http://schemas.openxmlformats.org/officeDocument/2006/relationships/table" Target="../tables/table8.xml"/><Relationship Id="rId1" Type="http://schemas.openxmlformats.org/officeDocument/2006/relationships/table" Target="../tables/table7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table" Target="../tables/table10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3.xml"/><Relationship Id="rId1" Type="http://schemas.openxmlformats.org/officeDocument/2006/relationships/table" Target="../tables/table12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5.xml"/><Relationship Id="rId1" Type="http://schemas.openxmlformats.org/officeDocument/2006/relationships/table" Target="../tables/table1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1"/>
  <sheetViews>
    <sheetView zoomScale="75" zoomScaleNormal="75" workbookViewId="0">
      <selection activeCell="C32" sqref="C32"/>
    </sheetView>
  </sheetViews>
  <sheetFormatPr defaultRowHeight="10.199999999999999" x14ac:dyDescent="0.2"/>
  <cols>
    <col min="1" max="1" width="15.85546875" bestFit="1" customWidth="1"/>
    <col min="2" max="2" width="18.140625" bestFit="1" customWidth="1"/>
    <col min="3" max="4" width="18" bestFit="1" customWidth="1"/>
    <col min="5" max="6" width="16.7109375" bestFit="1" customWidth="1"/>
    <col min="7" max="7" width="10.7109375" customWidth="1"/>
    <col min="8" max="8" width="14.42578125" customWidth="1"/>
    <col min="9" max="9" width="18.7109375" customWidth="1"/>
    <col min="10" max="10" width="39.140625" customWidth="1"/>
    <col min="11" max="11" width="15.28515625" bestFit="1" customWidth="1"/>
    <col min="12" max="12" width="11.85546875" customWidth="1"/>
    <col min="13" max="13" width="15.42578125" bestFit="1" customWidth="1"/>
    <col min="14" max="14" width="40.28515625" bestFit="1" customWidth="1"/>
    <col min="16" max="16" width="11.85546875" customWidth="1"/>
    <col min="19" max="19" width="21" bestFit="1" customWidth="1"/>
    <col min="20" max="20" width="20.42578125" customWidth="1"/>
  </cols>
  <sheetData>
    <row r="1" spans="1:19" x14ac:dyDescent="0.2">
      <c r="A1" s="3" t="s">
        <v>0</v>
      </c>
      <c r="B1" s="3" t="s">
        <v>1</v>
      </c>
      <c r="C1" s="3" t="s">
        <v>2</v>
      </c>
      <c r="D1" s="3" t="s">
        <v>87</v>
      </c>
      <c r="E1" s="3" t="s">
        <v>3</v>
      </c>
      <c r="F1" s="3" t="s">
        <v>15</v>
      </c>
      <c r="G1" s="3" t="s">
        <v>4</v>
      </c>
      <c r="H1" s="3" t="s">
        <v>88</v>
      </c>
      <c r="I1" s="3" t="s">
        <v>5</v>
      </c>
      <c r="J1" s="3" t="s">
        <v>82</v>
      </c>
      <c r="K1" s="3" t="s">
        <v>6</v>
      </c>
      <c r="L1" s="3" t="s">
        <v>89</v>
      </c>
      <c r="M1" s="3" t="s">
        <v>7</v>
      </c>
      <c r="N1" s="3" t="s">
        <v>83</v>
      </c>
      <c r="O1" s="3" t="s">
        <v>8</v>
      </c>
      <c r="P1" t="s">
        <v>9</v>
      </c>
      <c r="Q1" t="s">
        <v>10</v>
      </c>
      <c r="R1" t="s">
        <v>11</v>
      </c>
      <c r="S1" t="s">
        <v>12</v>
      </c>
    </row>
    <row r="2" spans="1:19" x14ac:dyDescent="0.2">
      <c r="A2" t="str">
        <f>'SWE_178 ultimate'!A2</f>
        <v>Raw</v>
      </c>
      <c r="B2" t="str">
        <f>'SWE_178 ultimate'!B2</f>
        <v>RAW</v>
      </c>
      <c r="C2">
        <f>'SWE_178 ultimate'!C2</f>
        <v>49.48</v>
      </c>
      <c r="D2">
        <f>'SWE_178 ultimate'!D2</f>
        <v>49.35</v>
      </c>
      <c r="E2">
        <f>'SWE_178 ultimate'!E2</f>
        <v>49.414999999999999</v>
      </c>
      <c r="F2">
        <f>'SWE_178 ultimate'!F2</f>
        <v>9.1923881554247966E-2</v>
      </c>
      <c r="G2">
        <f>'SWE_178 ultimate'!G2</f>
        <v>7.24</v>
      </c>
      <c r="H2">
        <f>'SWE_178 ultimate'!H2</f>
        <v>7.19</v>
      </c>
      <c r="I2">
        <f>'SWE_178 ultimate'!I2</f>
        <v>7.2149999999999999</v>
      </c>
      <c r="J2">
        <f>'SWE_178 ultimate'!J2</f>
        <v>3.5355339059327251E-2</v>
      </c>
      <c r="K2">
        <f>'SWE_178 ultimate'!K2</f>
        <v>2.39</v>
      </c>
      <c r="L2">
        <f>'SWE_178 ultimate'!L2</f>
        <v>2.36</v>
      </c>
      <c r="M2">
        <f>'SWE_178 ultimate'!M2</f>
        <v>2.375</v>
      </c>
      <c r="N2">
        <f>'SWE_178 ultimate'!N2</f>
        <v>2.12132034355966E-2</v>
      </c>
      <c r="O2">
        <f>'SWE_178 ultimate'!O2</f>
        <v>40.995000000000005</v>
      </c>
      <c r="P2">
        <f>'SWE_178 ultimate'!Q2</f>
        <v>0.14600829707578669</v>
      </c>
      <c r="Q2">
        <f>'SWE_178 ultimate'!R2</f>
        <v>4.8062329252251339E-2</v>
      </c>
      <c r="R2">
        <f>'SWE_178 ultimate'!S2</f>
        <v>0.82960639481938692</v>
      </c>
      <c r="S2">
        <f>'SWE_178 ultimate'!T2</f>
        <v>0</v>
      </c>
    </row>
    <row r="3" spans="1:19" x14ac:dyDescent="0.2">
      <c r="A3" s="3" t="s">
        <v>213</v>
      </c>
      <c r="B3" s="3"/>
      <c r="C3" s="3">
        <v>53</v>
      </c>
      <c r="D3" s="3">
        <v>53.62</v>
      </c>
      <c r="E3" s="3">
        <f>AVERAGE(C3:D3)</f>
        <v>53.31</v>
      </c>
      <c r="F3" s="3">
        <f>STDEV(C3:D3)</f>
        <v>0.43840620433565769</v>
      </c>
      <c r="G3" s="3">
        <v>7.6</v>
      </c>
      <c r="H3" s="3">
        <v>7.59</v>
      </c>
      <c r="I3" s="3">
        <f>AVERAGE(G3:H3)</f>
        <v>7.5949999999999998</v>
      </c>
      <c r="J3" s="3">
        <f>STDEV(G3:H3)</f>
        <v>7.0710678118653244E-3</v>
      </c>
      <c r="K3" s="3">
        <v>1.45</v>
      </c>
      <c r="L3" s="3">
        <v>1.43</v>
      </c>
      <c r="M3" s="3">
        <f>AVERAGE(K3:L3)</f>
        <v>1.44</v>
      </c>
      <c r="N3" s="3">
        <f>STDEV(K3:L3)</f>
        <v>1.4142135623730963E-2</v>
      </c>
      <c r="O3" s="3">
        <f>100-E3-I3-M3</f>
        <v>37.655000000000001</v>
      </c>
      <c r="P3">
        <f>I3/E3</f>
        <v>0.14246858000375162</v>
      </c>
      <c r="Q3">
        <f>M3/E3</f>
        <v>2.7011817670230722E-2</v>
      </c>
      <c r="R3">
        <f>O3/E3</f>
        <v>0.70634027386981801</v>
      </c>
      <c r="S3">
        <f>100-(Q3/Q2*100)</f>
        <v>43.798359150549423</v>
      </c>
    </row>
    <row r="4" spans="1:19" x14ac:dyDescent="0.2">
      <c r="A4" s="3" t="s">
        <v>214</v>
      </c>
      <c r="B4" s="3"/>
      <c r="C4" s="3">
        <v>53.73</v>
      </c>
      <c r="D4" s="3">
        <v>53.66</v>
      </c>
      <c r="E4" s="3">
        <f>AVERAGE(C4:D4)</f>
        <v>53.694999999999993</v>
      </c>
      <c r="F4" s="3">
        <f>STDEV(C4:D4)</f>
        <v>4.9497474683058526E-2</v>
      </c>
      <c r="G4" s="3">
        <v>7.77</v>
      </c>
      <c r="H4" s="3">
        <v>7.13</v>
      </c>
      <c r="I4" s="3">
        <f>AVERAGE(G4:H4)</f>
        <v>7.4499999999999993</v>
      </c>
      <c r="J4" s="3">
        <f>STDEV(G4:H4)</f>
        <v>0.4525483399593902</v>
      </c>
      <c r="K4" s="3">
        <v>1.47</v>
      </c>
      <c r="L4" s="3">
        <v>1.45</v>
      </c>
      <c r="M4" s="3">
        <f>AVERAGE(K4:L4)</f>
        <v>1.46</v>
      </c>
      <c r="N4" s="3">
        <f>STDEV(K4:L4)</f>
        <v>1.4142135623730963E-2</v>
      </c>
      <c r="O4" s="3">
        <f>100-E4-I4-M4</f>
        <v>37.395000000000003</v>
      </c>
      <c r="P4">
        <f>I4/E4</f>
        <v>0.13874662445292857</v>
      </c>
      <c r="Q4">
        <f>M4/E4</f>
        <v>2.7190613651177951E-2</v>
      </c>
      <c r="R4">
        <f>O4/E4</f>
        <v>0.69643355992178058</v>
      </c>
      <c r="S4">
        <f>100-(Q4/Q2*100)</f>
        <v>43.426350586401753</v>
      </c>
    </row>
    <row r="5" spans="1:19" x14ac:dyDescent="0.2">
      <c r="A5" s="3" t="s">
        <v>215</v>
      </c>
      <c r="B5" s="3"/>
      <c r="C5" s="3">
        <v>45.82</v>
      </c>
      <c r="D5" s="3">
        <v>45.82</v>
      </c>
      <c r="E5" s="3">
        <f>AVERAGE(C5:D5)</f>
        <v>45.82</v>
      </c>
      <c r="F5" s="3">
        <f>STDEV(C5:D5)</f>
        <v>0</v>
      </c>
      <c r="G5" s="3">
        <v>7.07</v>
      </c>
      <c r="H5" s="3">
        <v>7.34</v>
      </c>
      <c r="I5" s="3">
        <f>'SWE_178 ultimate'!I5</f>
        <v>7.5749999999999993</v>
      </c>
      <c r="J5" s="3">
        <f>'SWE_178 ultimate'!J5</f>
        <v>2.12132034355966E-2</v>
      </c>
      <c r="K5" s="3">
        <v>0.1</v>
      </c>
      <c r="L5" s="3">
        <v>0.1</v>
      </c>
      <c r="M5" s="3">
        <f>AVERAGE(K5:L5)</f>
        <v>0.1</v>
      </c>
      <c r="N5" s="3">
        <f>STDEV(K5:L5)</f>
        <v>0</v>
      </c>
      <c r="O5" s="3">
        <f>100-E5-I5-M5</f>
        <v>46.505000000000003</v>
      </c>
      <c r="P5">
        <f>'SWE_178 ultimate'!Q5</f>
        <v>0.13478647686832737</v>
      </c>
      <c r="Q5">
        <f>M5/E5</f>
        <v>2.1824530772588391E-3</v>
      </c>
      <c r="R5">
        <f>'SWE_178 ultimate'!S5</f>
        <v>0.60177935943060479</v>
      </c>
      <c r="S5">
        <f>100-(Q5/Q2*100)</f>
        <v>95.459119207884399</v>
      </c>
    </row>
    <row r="6" spans="1:19" x14ac:dyDescent="0.2">
      <c r="A6" s="3" t="s">
        <v>216</v>
      </c>
      <c r="B6" s="3"/>
      <c r="C6" s="3">
        <v>43.81</v>
      </c>
      <c r="D6" s="3">
        <v>44.3</v>
      </c>
      <c r="E6" s="3">
        <f>AVERAGE(C6:D6)</f>
        <v>44.055</v>
      </c>
      <c r="F6" s="3">
        <f>STDEV(C6:D6)</f>
        <v>0.34648232278140467</v>
      </c>
      <c r="G6" s="3">
        <v>6.76</v>
      </c>
      <c r="H6" s="3">
        <v>7.07</v>
      </c>
      <c r="I6" s="3">
        <f>AVERAGE(G6:H6)</f>
        <v>6.915</v>
      </c>
      <c r="J6" s="3">
        <f>STDEV(G6:H6)</f>
        <v>0.21920310216783009</v>
      </c>
      <c r="K6" s="3">
        <v>0.24</v>
      </c>
      <c r="L6" s="3">
        <v>0.25</v>
      </c>
      <c r="M6" s="3">
        <f>AVERAGE(K6:L6)</f>
        <v>0.245</v>
      </c>
      <c r="N6" s="3">
        <f>STDEV(K6:L6)</f>
        <v>7.0710678118654814E-3</v>
      </c>
      <c r="O6" s="3">
        <f>100-E6-I6-M6</f>
        <v>48.785000000000004</v>
      </c>
      <c r="P6">
        <f>I6/E6</f>
        <v>0.15696288729996596</v>
      </c>
      <c r="Q6">
        <f>M6/E6</f>
        <v>5.5612302803314043E-3</v>
      </c>
      <c r="R6">
        <f>O6/E6</f>
        <v>1.1073657927590512</v>
      </c>
      <c r="S6">
        <f>100-(Q6/Q2*100)</f>
        <v>88.429128660944158</v>
      </c>
    </row>
    <row r="12" spans="1:19" x14ac:dyDescent="0.2">
      <c r="B12" s="55" t="s">
        <v>90</v>
      </c>
      <c r="C12" s="55"/>
      <c r="D12" s="55"/>
      <c r="E12" s="55"/>
      <c r="F12" s="55"/>
      <c r="G12" s="55"/>
      <c r="H12" s="56"/>
      <c r="J12" s="57" t="s">
        <v>95</v>
      </c>
      <c r="K12" s="58"/>
      <c r="L12" s="58"/>
      <c r="M12" s="58"/>
      <c r="N12" s="59"/>
    </row>
    <row r="13" spans="1:19" x14ac:dyDescent="0.2">
      <c r="A13" s="16" t="s">
        <v>0</v>
      </c>
      <c r="B13" t="s">
        <v>1</v>
      </c>
      <c r="C13" t="s">
        <v>92</v>
      </c>
      <c r="D13" t="s">
        <v>91</v>
      </c>
      <c r="E13" t="s">
        <v>93</v>
      </c>
      <c r="F13" t="s">
        <v>94</v>
      </c>
      <c r="G13" t="s">
        <v>9</v>
      </c>
      <c r="H13" t="s">
        <v>10</v>
      </c>
      <c r="I13" t="s">
        <v>11</v>
      </c>
      <c r="J13" s="32" t="s">
        <v>96</v>
      </c>
      <c r="K13" s="7" t="s">
        <v>97</v>
      </c>
      <c r="L13" s="7" t="s">
        <v>98</v>
      </c>
      <c r="M13" s="7" t="s">
        <v>99</v>
      </c>
      <c r="N13" s="33" t="s">
        <v>100</v>
      </c>
    </row>
    <row r="14" spans="1:19" x14ac:dyDescent="0.2">
      <c r="A14" s="5" t="str">
        <f>A2</f>
        <v>Raw</v>
      </c>
      <c r="B14" s="8"/>
      <c r="C14">
        <f>E2</f>
        <v>49.414999999999999</v>
      </c>
      <c r="D14">
        <f>I2</f>
        <v>7.2149999999999999</v>
      </c>
      <c r="E14">
        <f>M2</f>
        <v>2.375</v>
      </c>
      <c r="F14">
        <f t="shared" ref="F14:I18" si="0">O2</f>
        <v>40.995000000000005</v>
      </c>
      <c r="G14">
        <f t="shared" si="0"/>
        <v>0.14600829707578669</v>
      </c>
      <c r="H14">
        <f t="shared" si="0"/>
        <v>4.8062329252251339E-2</v>
      </c>
      <c r="I14">
        <f t="shared" si="0"/>
        <v>0.82960639481938692</v>
      </c>
      <c r="J14" s="34">
        <f>Table711[[#This Row],[C (As received)]]*Table711[[#This Row],[100/(100*Moisture content as received)]]</f>
        <v>53.011888633468494</v>
      </c>
      <c r="K14" s="24">
        <f>Table711[[#This Row],[H (As received)]]*Table711[[#This Row],[100/(100*Moisture content as received)]]</f>
        <v>7.7401755841439881</v>
      </c>
      <c r="L14" s="24">
        <f>Table711[[#This Row],[N (As received)]]*Table711[[#This Row],[100/(100*Moisture content as received)]]</f>
        <v>2.5478748457854432</v>
      </c>
      <c r="M14" s="24">
        <f>100-Table711[[#This Row],[N(dry basis)]]-Table711[[#This Row],[H (dry basis)]]-Table711[[#This Row],[C (dry basis)]]</f>
        <v>36.700060936602078</v>
      </c>
      <c r="N14" s="35">
        <v>1.0727894087517655</v>
      </c>
    </row>
    <row r="15" spans="1:19" x14ac:dyDescent="0.2">
      <c r="A15" s="6" t="str">
        <f>A3</f>
        <v>PE 223 SWE A</v>
      </c>
      <c r="B15" s="8" t="s">
        <v>130</v>
      </c>
      <c r="C15">
        <f>E3</f>
        <v>53.31</v>
      </c>
      <c r="D15">
        <f>I3</f>
        <v>7.5949999999999998</v>
      </c>
      <c r="E15">
        <f>M3</f>
        <v>1.44</v>
      </c>
      <c r="F15">
        <f t="shared" si="0"/>
        <v>37.655000000000001</v>
      </c>
      <c r="G15">
        <f t="shared" si="0"/>
        <v>0.14246858000375162</v>
      </c>
      <c r="H15">
        <f t="shared" si="0"/>
        <v>2.7011817670230722E-2</v>
      </c>
      <c r="I15">
        <f t="shared" si="0"/>
        <v>0.70634027386981801</v>
      </c>
      <c r="J15" s="34">
        <f>Table711[[#This Row],[C (As received)]]*Table711[[#This Row],[100/(100*Moisture content as received)]]</f>
        <v>56.944177401781715</v>
      </c>
      <c r="K15" s="24">
        <f>Table711[[#This Row],[H (As received)]]*Table711[[#This Row],[100/(100*Moisture content as received)]]</f>
        <v>8.1127560939135641</v>
      </c>
      <c r="L15" s="24">
        <f>Table711[[#This Row],[N (As received)]]*Table711[[#This Row],[100/(100*Moisture content as received)]]</f>
        <v>1.5381657373582003</v>
      </c>
      <c r="M15" s="24">
        <f>100-Table711[[#This Row],[N(dry basis)]]-Table711[[#This Row],[H (dry basis)]]-Table711[[#This Row],[C (dry basis)]]</f>
        <v>33.404900766946525</v>
      </c>
      <c r="N15" s="35">
        <v>1.0681706509431947</v>
      </c>
    </row>
    <row r="16" spans="1:19" x14ac:dyDescent="0.2">
      <c r="A16" s="5" t="str">
        <f>A4</f>
        <v>PE 223 SWE B</v>
      </c>
      <c r="B16" s="8" t="s">
        <v>131</v>
      </c>
      <c r="C16">
        <f>E4</f>
        <v>53.694999999999993</v>
      </c>
      <c r="D16">
        <f>I4</f>
        <v>7.4499999999999993</v>
      </c>
      <c r="E16">
        <f>M4</f>
        <v>1.46</v>
      </c>
      <c r="F16">
        <f t="shared" si="0"/>
        <v>37.395000000000003</v>
      </c>
      <c r="G16">
        <f t="shared" si="0"/>
        <v>0.13874662445292857</v>
      </c>
      <c r="H16">
        <f t="shared" si="0"/>
        <v>2.7190613651177951E-2</v>
      </c>
      <c r="I16">
        <f t="shared" si="0"/>
        <v>0.69643355992178058</v>
      </c>
      <c r="J16" s="34">
        <f>Table711[[#This Row],[C (As received)]]*Table711[[#This Row],[100/(100*Moisture content as received)]]</f>
        <v>56.447967368564903</v>
      </c>
      <c r="K16" s="24">
        <f>Table711[[#This Row],[H (As received)]]*Table711[[#This Row],[100/(100*Moisture content as received)]]</f>
        <v>7.8319649296174418</v>
      </c>
      <c r="L16" s="24">
        <f>Table711[[#This Row],[N (As received)]]*Table711[[#This Row],[100/(100*Moisture content as received)]]</f>
        <v>1.5348548721129485</v>
      </c>
      <c r="M16" s="24">
        <f>100-Table711[[#This Row],[N(dry basis)]]-Table711[[#This Row],[H (dry basis)]]-Table711[[#This Row],[C (dry basis)]]</f>
        <v>34.18521282970471</v>
      </c>
      <c r="N16" s="35">
        <v>1.0512704603513345</v>
      </c>
    </row>
    <row r="17" spans="1:14" x14ac:dyDescent="0.2">
      <c r="A17" s="6" t="str">
        <f>A5</f>
        <v>PE 223 RAW A</v>
      </c>
      <c r="B17" s="8"/>
      <c r="C17">
        <f>E5</f>
        <v>45.82</v>
      </c>
      <c r="D17">
        <f>I5</f>
        <v>7.5749999999999993</v>
      </c>
      <c r="E17">
        <f>M5</f>
        <v>0.1</v>
      </c>
      <c r="F17">
        <f t="shared" si="0"/>
        <v>46.505000000000003</v>
      </c>
      <c r="G17">
        <f t="shared" si="0"/>
        <v>0.13478647686832737</v>
      </c>
      <c r="H17">
        <f t="shared" si="0"/>
        <v>2.1824530772588391E-3</v>
      </c>
      <c r="I17">
        <f t="shared" si="0"/>
        <v>0.60177935943060479</v>
      </c>
      <c r="J17" s="34">
        <f>Table711[[#This Row],[C (As received)]]*Table711[[#This Row],[100/(100*Moisture content as received)]]</f>
        <v>48.058064042457232</v>
      </c>
      <c r="K17" s="24">
        <f>Table711[[#This Row],[H (As received)]]*Table711[[#This Row],[100/(100*Moisture content as received)]]</f>
        <v>7.9449985840596566</v>
      </c>
      <c r="L17" s="24">
        <f>Table711[[#This Row],[N (As received)]]*Table711[[#This Row],[100/(100*Moisture content as received)]]</f>
        <v>0.10488446975656314</v>
      </c>
      <c r="M17" s="24">
        <f>100-Table711[[#This Row],[N(dry basis)]]-Table711[[#This Row],[H (dry basis)]]-Table711[[#This Row],[C (dry basis)]]</f>
        <v>43.892052903726537</v>
      </c>
      <c r="N17" s="35">
        <v>1.0488446975656314</v>
      </c>
    </row>
    <row r="18" spans="1:14" x14ac:dyDescent="0.2">
      <c r="A18" s="5" t="str">
        <f>A6</f>
        <v>PE 223 RAW B</v>
      </c>
      <c r="B18" s="8"/>
      <c r="C18">
        <f>E6</f>
        <v>44.055</v>
      </c>
      <c r="D18">
        <f>I6</f>
        <v>6.915</v>
      </c>
      <c r="E18">
        <f>M6</f>
        <v>0.245</v>
      </c>
      <c r="F18">
        <f t="shared" si="0"/>
        <v>48.785000000000004</v>
      </c>
      <c r="G18">
        <f t="shared" si="0"/>
        <v>0.15696288729996596</v>
      </c>
      <c r="H18">
        <f t="shared" si="0"/>
        <v>5.5612302803314043E-3</v>
      </c>
      <c r="I18">
        <f t="shared" si="0"/>
        <v>1.1073657927590512</v>
      </c>
      <c r="J18" s="34">
        <f>Table711[[#This Row],[C (As received)]]*Table711[[#This Row],[100/(100*Moisture content as received)]]</f>
        <v>47.697671145372063</v>
      </c>
      <c r="K18" s="24">
        <f>Table711[[#This Row],[H (As received)]]*Table711[[#This Row],[100/(100*Moisture content as received)]]</f>
        <v>7.486764180461873</v>
      </c>
      <c r="L18" s="24">
        <f>Table711[[#This Row],[N (As received)]]*Table711[[#This Row],[100/(100*Moisture content as received)]]</f>
        <v>0.26525773307493256</v>
      </c>
      <c r="M18" s="24">
        <f>100-Table711[[#This Row],[N(dry basis)]]-Table711[[#This Row],[H (dry basis)]]-Table711[[#This Row],[C (dry basis)]]</f>
        <v>44.550306941091129</v>
      </c>
      <c r="N18" s="35">
        <v>1.0826846247956432</v>
      </c>
    </row>
    <row r="19" spans="1:14" x14ac:dyDescent="0.2">
      <c r="A19" s="4" t="s">
        <v>84</v>
      </c>
      <c r="B19" s="29" t="s">
        <v>132</v>
      </c>
      <c r="C19" s="4">
        <f>AVERAGE(C15:C16)</f>
        <v>53.502499999999998</v>
      </c>
      <c r="D19" s="4">
        <f t="shared" ref="D19:M19" si="1">AVERAGE(D15:D16)</f>
        <v>7.5224999999999991</v>
      </c>
      <c r="E19" s="4">
        <f t="shared" si="1"/>
        <v>1.45</v>
      </c>
      <c r="F19" s="4">
        <f>AVERAGE(F15:F16)</f>
        <v>37.525000000000006</v>
      </c>
      <c r="G19" s="4">
        <f t="shared" si="1"/>
        <v>0.1406076022283401</v>
      </c>
      <c r="H19" s="4">
        <f t="shared" si="1"/>
        <v>2.7101215660704336E-2</v>
      </c>
      <c r="I19" s="4">
        <f t="shared" si="1"/>
        <v>0.70138691689579935</v>
      </c>
      <c r="J19" s="44">
        <f>AVERAGE(J15:J16)</f>
        <v>56.696072385173309</v>
      </c>
      <c r="K19" s="45">
        <f t="shared" si="1"/>
        <v>7.972360511765503</v>
      </c>
      <c r="L19" s="45">
        <f t="shared" si="1"/>
        <v>1.5365103047355744</v>
      </c>
      <c r="M19" s="45">
        <f t="shared" si="1"/>
        <v>33.795056798325618</v>
      </c>
      <c r="N19" s="36"/>
    </row>
    <row r="20" spans="1:14" x14ac:dyDescent="0.2">
      <c r="A20" s="4" t="s">
        <v>85</v>
      </c>
      <c r="B20" s="29" t="s">
        <v>133</v>
      </c>
      <c r="C20" s="4">
        <f>AVERAGE(C17:C18)</f>
        <v>44.9375</v>
      </c>
      <c r="D20" s="4">
        <f t="shared" ref="D20:M20" si="2">AVERAGE(D17:D18)</f>
        <v>7.2449999999999992</v>
      </c>
      <c r="E20" s="4">
        <f>AVERAGE(E17:E18)</f>
        <v>0.17249999999999999</v>
      </c>
      <c r="F20" s="4">
        <f t="shared" si="2"/>
        <v>47.645000000000003</v>
      </c>
      <c r="G20" s="4">
        <f t="shared" si="2"/>
        <v>0.14587468208414667</v>
      </c>
      <c r="H20" s="4">
        <f t="shared" si="2"/>
        <v>3.8718416787951217E-3</v>
      </c>
      <c r="I20" s="4">
        <f t="shared" si="2"/>
        <v>0.85457257609482795</v>
      </c>
      <c r="J20" s="46">
        <f t="shared" si="2"/>
        <v>47.877867593914644</v>
      </c>
      <c r="K20" s="47">
        <f t="shared" si="2"/>
        <v>7.7158813822607648</v>
      </c>
      <c r="L20" s="47">
        <f t="shared" si="2"/>
        <v>0.18507110141574784</v>
      </c>
      <c r="M20" s="47">
        <f t="shared" si="2"/>
        <v>44.221179922408837</v>
      </c>
      <c r="N20" s="37"/>
    </row>
    <row r="21" spans="1:14" x14ac:dyDescent="0.2">
      <c r="A21" t="s">
        <v>265</v>
      </c>
      <c r="B21" s="8"/>
      <c r="C21" t="e">
        <f>#REF!</f>
        <v>#REF!</v>
      </c>
      <c r="D21" s="8" t="e">
        <f>#REF!</f>
        <v>#REF!</v>
      </c>
      <c r="E21" s="8" t="e">
        <f>#REF!</f>
        <v>#REF!</v>
      </c>
      <c r="F21" s="8" t="e">
        <f>#REF!</f>
        <v>#REF!</v>
      </c>
      <c r="G21" s="8" t="e">
        <f>#REF!</f>
        <v>#REF!</v>
      </c>
      <c r="H21" s="8">
        <f>Q9</f>
        <v>0</v>
      </c>
      <c r="I21" s="8" t="s">
        <v>15</v>
      </c>
      <c r="J21" s="34">
        <f>STDEV(J16,J15)</f>
        <v>0.3508734793804098</v>
      </c>
      <c r="K21" s="34">
        <f>STDEV(K16,K15)</f>
        <v>0.19854933637105407</v>
      </c>
      <c r="L21" s="34">
        <f>STDEV(L16,L15)</f>
        <v>2.34113526651242E-3</v>
      </c>
      <c r="M21" s="34">
        <f>STDEV(M16,M15)</f>
        <v>0.55176395101797526</v>
      </c>
      <c r="N21" s="35">
        <v>1.0719262514738985</v>
      </c>
    </row>
    <row r="22" spans="1:14" x14ac:dyDescent="0.2">
      <c r="A22" t="s">
        <v>266</v>
      </c>
      <c r="B22" s="8"/>
      <c r="C22" t="e">
        <f>#REF!</f>
        <v>#REF!</v>
      </c>
      <c r="D22" s="8" t="e">
        <f>#REF!</f>
        <v>#REF!</v>
      </c>
      <c r="E22" s="8" t="e">
        <f>#REF!</f>
        <v>#REF!</v>
      </c>
      <c r="F22" s="8" t="e">
        <f>#REF!</f>
        <v>#REF!</v>
      </c>
      <c r="G22" s="8" t="e">
        <f>#REF!</f>
        <v>#REF!</v>
      </c>
      <c r="H22" s="8">
        <f>Q10</f>
        <v>0</v>
      </c>
      <c r="I22" s="8" t="s">
        <v>267</v>
      </c>
      <c r="J22" s="34">
        <f>_xlfn.CONFIDENCE.T(0.05,J21,4)</f>
        <v>0.55831800403811238</v>
      </c>
      <c r="K22" s="34">
        <f>_xlfn.CONFIDENCE.T(0.05,K21,4)</f>
        <v>0.31593630097529668</v>
      </c>
      <c r="L22" s="34">
        <f>_xlfn.CONFIDENCE.T(0.05,L21,4)</f>
        <v>3.7252686395409214E-3</v>
      </c>
      <c r="M22" s="34">
        <f>_xlfn.CONFIDENCE.T(0.05,M21,4)</f>
        <v>0.87797957365294843</v>
      </c>
      <c r="N22" s="35">
        <v>1.0719262514738985</v>
      </c>
    </row>
    <row r="23" spans="1:14" x14ac:dyDescent="0.2">
      <c r="B23" s="8"/>
      <c r="C23" t="e">
        <f>#REF!</f>
        <v>#REF!</v>
      </c>
      <c r="D23" s="8" t="e">
        <f>#REF!</f>
        <v>#REF!</v>
      </c>
      <c r="E23" s="8" t="e">
        <f>#REF!</f>
        <v>#REF!</v>
      </c>
      <c r="F23" s="8" t="e">
        <f>#REF!</f>
        <v>#REF!</v>
      </c>
      <c r="G23" s="8" t="e">
        <f>#REF!</f>
        <v>#REF!</v>
      </c>
      <c r="H23" s="8">
        <f>Q11</f>
        <v>0</v>
      </c>
      <c r="I23" s="8" t="s">
        <v>15</v>
      </c>
      <c r="J23" s="34">
        <f>STDEV(J17:J18)</f>
        <v>0.25483626142038907</v>
      </c>
      <c r="K23" s="34">
        <f>STDEV(K17:K18)</f>
        <v>0.32402065415696613</v>
      </c>
      <c r="L23" s="34">
        <f>STDEV(L17:L18)</f>
        <v>0.11340102201343487</v>
      </c>
      <c r="M23" s="34">
        <f>STDEV(M17:M18)</f>
        <v>0.46545589356392653</v>
      </c>
      <c r="N23" s="35">
        <v>1.0719262514738985</v>
      </c>
    </row>
    <row r="24" spans="1:14" x14ac:dyDescent="0.2">
      <c r="B24" s="8"/>
      <c r="C24" t="e">
        <f>#REF!</f>
        <v>#REF!</v>
      </c>
      <c r="D24" s="8" t="e">
        <f>#REF!</f>
        <v>#REF!</v>
      </c>
      <c r="E24" s="8" t="e">
        <f>#REF!</f>
        <v>#REF!</v>
      </c>
      <c r="F24" s="8" t="e">
        <f>#REF!</f>
        <v>#REF!</v>
      </c>
      <c r="G24" s="8" t="e">
        <f>#REF!</f>
        <v>#REF!</v>
      </c>
      <c r="H24" s="8">
        <f>Q12</f>
        <v>0</v>
      </c>
      <c r="I24" s="8" t="s">
        <v>267</v>
      </c>
      <c r="J24" s="34">
        <f>_xlfn.CONFIDENCE.T(0.05,J23,4)</f>
        <v>0.40550135930481529</v>
      </c>
      <c r="K24" s="34">
        <f>_xlfn.CONFIDENCE.T(0.05,K23,4)</f>
        <v>0.51558916682872369</v>
      </c>
      <c r="L24" s="34">
        <f>_xlfn.CONFIDENCE.T(0.05,L23,4)</f>
        <v>0.18044633176102617</v>
      </c>
      <c r="M24" s="34">
        <f>_xlfn.CONFIDENCE.T(0.05,M23,4)</f>
        <v>0.74064419437252271</v>
      </c>
      <c r="N24" s="35">
        <v>1.0719262514738985</v>
      </c>
    </row>
    <row r="27" spans="1:14" x14ac:dyDescent="0.2">
      <c r="A27" s="51" t="s">
        <v>23</v>
      </c>
      <c r="B27" s="52" t="s">
        <v>17</v>
      </c>
      <c r="C27" s="52" t="s">
        <v>18</v>
      </c>
      <c r="D27" s="52" t="s">
        <v>19</v>
      </c>
      <c r="E27" s="52" t="s">
        <v>20</v>
      </c>
      <c r="F27" s="52" t="s">
        <v>21</v>
      </c>
      <c r="G27" s="52" t="s">
        <v>24</v>
      </c>
      <c r="H27" s="52" t="s">
        <v>22</v>
      </c>
      <c r="I27" s="53" t="s">
        <v>240</v>
      </c>
      <c r="J27" s="52" t="s">
        <v>86</v>
      </c>
      <c r="K27" s="52" t="s">
        <v>15</v>
      </c>
      <c r="L27" s="54" t="s">
        <v>267</v>
      </c>
    </row>
    <row r="28" spans="1:14" x14ac:dyDescent="0.2">
      <c r="A28" s="38" t="str">
        <f>A15</f>
        <v>PE 223 SWE A</v>
      </c>
      <c r="B28" s="48">
        <f>3.55*J15^2</f>
        <v>11511.369656877834</v>
      </c>
      <c r="C28" s="48">
        <f>232*J15</f>
        <v>13211.049157213358</v>
      </c>
      <c r="D28" s="48">
        <f>2230*K15</f>
        <v>18091.446089427249</v>
      </c>
      <c r="E28" s="48">
        <f>51.2*J15*K15</f>
        <v>23653.080178135024</v>
      </c>
      <c r="F28" s="48">
        <f>131*L15</f>
        <v>201.49971159392425</v>
      </c>
      <c r="G28" s="48">
        <f>20600</f>
        <v>20600</v>
      </c>
      <c r="H28" s="48">
        <f>B28-C28-D28+E28+F28+G28</f>
        <v>24663.454299966179</v>
      </c>
      <c r="I28" s="50">
        <f>Table15[[#This Row],[HHV kJ/kg]]/1000</f>
        <v>24.66345429996618</v>
      </c>
      <c r="J28" s="50">
        <f>AVERAGE(I28:I29)</f>
        <v>24.425188763342096</v>
      </c>
      <c r="K28" s="48">
        <f>STDEV(I28:I29)</f>
        <v>0.336958353339883</v>
      </c>
      <c r="L28" s="49">
        <f>_xlfn.CONFIDENCE.T(0.05,Table15[[#This Row],[stdev]],2)</f>
        <v>3.0274506899201441</v>
      </c>
    </row>
    <row r="29" spans="1:14" x14ac:dyDescent="0.2">
      <c r="A29" s="48" t="str">
        <f>A16</f>
        <v>PE 223 SWE B</v>
      </c>
      <c r="B29" s="48">
        <f>3.55*J16^2</f>
        <v>11311.624221151116</v>
      </c>
      <c r="C29" s="48">
        <f>232*J16</f>
        <v>13095.928429507057</v>
      </c>
      <c r="D29">
        <f>2230*K16</f>
        <v>17465.281793046895</v>
      </c>
      <c r="E29">
        <f>51.2*J16*K16</f>
        <v>22635.443239874054</v>
      </c>
      <c r="F29">
        <f>131*L16</f>
        <v>201.06598824679625</v>
      </c>
      <c r="G29" s="48">
        <f>20600</f>
        <v>20600</v>
      </c>
      <c r="H29" s="48">
        <f>B29-C29-D29+E29+F29+G29</f>
        <v>24186.923226718012</v>
      </c>
      <c r="I29" s="50">
        <f>Table15[[#This Row],[HHV kJ/kg]]/1000</f>
        <v>24.186923226718012</v>
      </c>
    </row>
    <row r="30" spans="1:14" x14ac:dyDescent="0.2">
      <c r="A30" s="38" t="str">
        <f>A17</f>
        <v>PE 223 RAW A</v>
      </c>
      <c r="B30" s="48">
        <f>3.55*J17^2</f>
        <v>8199.0001942566687</v>
      </c>
      <c r="C30" s="48">
        <f>232*J17</f>
        <v>11149.470857850078</v>
      </c>
      <c r="D30">
        <f>2230*K17</f>
        <v>17717.346842453033</v>
      </c>
      <c r="E30">
        <f>51.2*J17*K17</f>
        <v>19549.248039422517</v>
      </c>
      <c r="F30">
        <f>131*L17</f>
        <v>13.739865538109772</v>
      </c>
      <c r="G30" s="48">
        <f>20600</f>
        <v>20600</v>
      </c>
      <c r="H30" s="48">
        <f>B30-C30-D30+E30+F30+G30</f>
        <v>19495.170398914186</v>
      </c>
      <c r="I30" s="50">
        <f>Table15[[#This Row],[HHV kJ/kg]]/1000</f>
        <v>19.495170398914187</v>
      </c>
      <c r="J30" s="9">
        <f>AVERAGE(I30:I31)</f>
        <v>19.364324194982867</v>
      </c>
      <c r="K30" s="48">
        <f>STDEV(I30:I31)</f>
        <v>0.18504447618470832</v>
      </c>
      <c r="L30" s="49">
        <f>_xlfn.CONFIDENCE.T(0.05,Table15[[#This Row],[stdev]],2)</f>
        <v>1.6625586561026178</v>
      </c>
    </row>
    <row r="31" spans="1:14" x14ac:dyDescent="0.2">
      <c r="A31" s="48" t="str">
        <f>A18</f>
        <v>PE 223 RAW B</v>
      </c>
      <c r="B31" s="48">
        <f>3.55*J18^2</f>
        <v>8076.4908060568087</v>
      </c>
      <c r="C31" s="48">
        <f>232*J18</f>
        <v>11065.859705726318</v>
      </c>
      <c r="D31">
        <f>2230*K18</f>
        <v>16695.484122429978</v>
      </c>
      <c r="E31">
        <f>51.2*J18*K18</f>
        <v>18283.582250118216</v>
      </c>
      <c r="F31">
        <f>131*L18</f>
        <v>34.748763032816164</v>
      </c>
      <c r="G31" s="48">
        <f>20600</f>
        <v>20600</v>
      </c>
      <c r="H31" s="48">
        <f>B31-C31-D31+E31+F31+G31</f>
        <v>19233.477991051546</v>
      </c>
      <c r="I31" s="50">
        <f>Table15[[#This Row],[HHV kJ/kg]]/1000</f>
        <v>19.233477991051547</v>
      </c>
    </row>
  </sheetData>
  <mergeCells count="2">
    <mergeCell ref="B12:H12"/>
    <mergeCell ref="J12:N12"/>
  </mergeCells>
  <pageMargins left="0.7" right="0.7" top="0.75" bottom="0.75" header="0.3" footer="0.3"/>
  <tableParts count="3">
    <tablePart r:id="rId1"/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230"/>
  <sheetViews>
    <sheetView topLeftCell="A157" zoomScale="84" zoomScaleNormal="84" workbookViewId="0">
      <selection activeCell="I153" sqref="I153"/>
    </sheetView>
  </sheetViews>
  <sheetFormatPr defaultRowHeight="10.199999999999999" x14ac:dyDescent="0.2"/>
  <cols>
    <col min="1" max="1" width="13.42578125" customWidth="1"/>
    <col min="2" max="2" width="11.85546875" customWidth="1"/>
    <col min="4" max="4" width="18" bestFit="1" customWidth="1"/>
    <col min="5" max="5" width="16.7109375" bestFit="1" customWidth="1"/>
    <col min="6" max="7" width="12.140625" bestFit="1" customWidth="1"/>
    <col min="8" max="8" width="14.7109375" customWidth="1"/>
    <col min="9" max="9" width="18" customWidth="1"/>
    <col min="10" max="10" width="18.42578125" customWidth="1"/>
    <col min="11" max="11" width="39.28515625" customWidth="1"/>
    <col min="12" max="12" width="15.42578125" bestFit="1" customWidth="1"/>
    <col min="13" max="13" width="40.28515625" bestFit="1" customWidth="1"/>
    <col min="14" max="14" width="10.42578125" customWidth="1"/>
    <col min="16" max="16" width="11.85546875" customWidth="1"/>
    <col min="20" max="20" width="20.42578125" customWidth="1"/>
  </cols>
  <sheetData>
    <row r="1" spans="1:20" x14ac:dyDescent="0.2">
      <c r="A1" t="s">
        <v>0</v>
      </c>
      <c r="B1" t="s">
        <v>1</v>
      </c>
      <c r="C1" t="s">
        <v>2</v>
      </c>
      <c r="D1" t="s">
        <v>53</v>
      </c>
      <c r="E1" s="2" t="s">
        <v>3</v>
      </c>
      <c r="F1" t="s">
        <v>15</v>
      </c>
      <c r="G1" t="s">
        <v>4</v>
      </c>
      <c r="H1" t="s">
        <v>54</v>
      </c>
      <c r="I1" s="2" t="s">
        <v>5</v>
      </c>
      <c r="J1" t="s">
        <v>82</v>
      </c>
      <c r="K1" t="s">
        <v>6</v>
      </c>
      <c r="L1" t="s">
        <v>55</v>
      </c>
      <c r="M1" s="2" t="s">
        <v>7</v>
      </c>
      <c r="N1" t="s">
        <v>83</v>
      </c>
      <c r="O1" s="2" t="s">
        <v>8</v>
      </c>
      <c r="P1" t="s">
        <v>56</v>
      </c>
      <c r="Q1" s="11" t="s">
        <v>9</v>
      </c>
      <c r="R1" s="12" t="s">
        <v>10</v>
      </c>
      <c r="S1" s="13" t="s">
        <v>11</v>
      </c>
      <c r="T1" t="s">
        <v>12</v>
      </c>
    </row>
    <row r="2" spans="1:20" x14ac:dyDescent="0.2">
      <c r="A2" t="s">
        <v>13</v>
      </c>
      <c r="B2" t="s">
        <v>14</v>
      </c>
      <c r="C2">
        <v>49.48</v>
      </c>
      <c r="D2">
        <v>49.35</v>
      </c>
      <c r="E2" s="10">
        <f>AVERAGE(C2:D2)</f>
        <v>49.414999999999999</v>
      </c>
      <c r="F2">
        <f>STDEV(C2:D2)</f>
        <v>9.1923881554247966E-2</v>
      </c>
      <c r="G2">
        <v>7.24</v>
      </c>
      <c r="H2">
        <v>7.19</v>
      </c>
      <c r="I2" s="10">
        <f>AVERAGE(G2:H2)</f>
        <v>7.2149999999999999</v>
      </c>
      <c r="J2">
        <f t="shared" ref="J2:J16" si="0">STDEV(G2:H2)</f>
        <v>3.5355339059327251E-2</v>
      </c>
      <c r="K2">
        <v>2.39</v>
      </c>
      <c r="L2">
        <v>2.36</v>
      </c>
      <c r="M2" s="10">
        <f>AVERAGE(K2:L2)</f>
        <v>2.375</v>
      </c>
      <c r="N2">
        <f t="shared" ref="N2:N16" si="1">STDEV(K2:L2)</f>
        <v>2.12132034355966E-2</v>
      </c>
      <c r="O2" s="10">
        <f>100-E2-I2-M2</f>
        <v>40.995000000000005</v>
      </c>
      <c r="P2">
        <f>100-Table5[[#This Row],[C]]-Table5[[#This Row],[H]]-Table5[[#This Row],[N]]</f>
        <v>40.89</v>
      </c>
      <c r="Q2" s="14">
        <f t="shared" ref="Q2:Q7" si="2">I2/E2</f>
        <v>0.14600829707578669</v>
      </c>
      <c r="R2" s="7">
        <f>M2/E2</f>
        <v>4.8062329252251339E-2</v>
      </c>
      <c r="S2" s="15">
        <f>O2/E2</f>
        <v>0.82960639481938692</v>
      </c>
      <c r="T2">
        <f>100-(R2/R2*100)</f>
        <v>0</v>
      </c>
    </row>
    <row r="3" spans="1:20" x14ac:dyDescent="0.2">
      <c r="A3" t="s">
        <v>25</v>
      </c>
      <c r="B3">
        <v>1</v>
      </c>
      <c r="C3">
        <v>56.71</v>
      </c>
      <c r="D3">
        <v>55.92</v>
      </c>
      <c r="E3" s="10">
        <f>AVERAGE(C3:D3)</f>
        <v>56.314999999999998</v>
      </c>
      <c r="F3">
        <f>STDEV(C3:D3)</f>
        <v>0.55861435713737195</v>
      </c>
      <c r="G3">
        <v>7.71</v>
      </c>
      <c r="H3">
        <v>7.56</v>
      </c>
      <c r="I3" s="10">
        <f>AVERAGE(G3:H3)</f>
        <v>7.6349999999999998</v>
      </c>
      <c r="J3">
        <f t="shared" si="0"/>
        <v>0.10606601717798238</v>
      </c>
      <c r="K3">
        <v>2.4900000000000002</v>
      </c>
      <c r="L3">
        <v>2.4</v>
      </c>
      <c r="M3" s="10">
        <f>AVERAGE(K3:L3)</f>
        <v>2.4450000000000003</v>
      </c>
      <c r="N3">
        <f t="shared" si="1"/>
        <v>6.3639610306789496E-2</v>
      </c>
      <c r="O3" s="10">
        <f>100-E3-I3-M3</f>
        <v>33.605000000000004</v>
      </c>
      <c r="P3">
        <f>100-D2-H2-L2</f>
        <v>41.1</v>
      </c>
      <c r="Q3" s="14">
        <f t="shared" si="2"/>
        <v>0.13557666696262097</v>
      </c>
      <c r="R3" s="7">
        <f>M3/E3</f>
        <v>4.3416496492941499E-2</v>
      </c>
      <c r="S3" s="15">
        <f>O3/E3</f>
        <v>0.59673266447660489</v>
      </c>
      <c r="T3">
        <f>100-(R3/R2*100)</f>
        <v>9.666266349528243</v>
      </c>
    </row>
    <row r="4" spans="1:20" x14ac:dyDescent="0.2">
      <c r="A4" t="s">
        <v>26</v>
      </c>
      <c r="B4">
        <v>2</v>
      </c>
      <c r="C4">
        <v>56.74</v>
      </c>
      <c r="D4">
        <v>56.92</v>
      </c>
      <c r="E4" s="10">
        <f>AVERAGE(C4:D4)</f>
        <v>56.83</v>
      </c>
      <c r="F4">
        <f>STDEV(C4:D4)</f>
        <v>0.12727922061357835</v>
      </c>
      <c r="G4">
        <v>7.66</v>
      </c>
      <c r="H4">
        <v>7.58</v>
      </c>
      <c r="I4" s="10">
        <f>AVERAGE(G4:H4)</f>
        <v>7.62</v>
      </c>
      <c r="J4">
        <f t="shared" si="0"/>
        <v>5.6568542494923851E-2</v>
      </c>
      <c r="K4">
        <v>2.4500000000000002</v>
      </c>
      <c r="L4">
        <v>2.36</v>
      </c>
      <c r="M4" s="10">
        <f>AVERAGE(K4:L4)</f>
        <v>2.4050000000000002</v>
      </c>
      <c r="N4">
        <f t="shared" si="1"/>
        <v>6.3639610306789496E-2</v>
      </c>
      <c r="O4" s="10">
        <f t="shared" ref="O4:O16" si="3">100-E4-I4-M4</f>
        <v>33.145000000000003</v>
      </c>
      <c r="P4">
        <f>STDEV(P2:P3)</f>
        <v>0.14849242404917559</v>
      </c>
      <c r="Q4" s="14">
        <f t="shared" si="2"/>
        <v>0.13408411050501495</v>
      </c>
      <c r="R4" s="7">
        <f t="shared" ref="R4:R16" si="4">M4/E4</f>
        <v>4.2319197606897771E-2</v>
      </c>
      <c r="S4" s="15">
        <f t="shared" ref="S4:S16" si="5">O4/E4</f>
        <v>0.5832306880168926</v>
      </c>
      <c r="T4">
        <f>100-(R4/R2*100)</f>
        <v>11.94934106337459</v>
      </c>
    </row>
    <row r="5" spans="1:20" x14ac:dyDescent="0.2">
      <c r="A5" t="s">
        <v>27</v>
      </c>
      <c r="B5">
        <v>3</v>
      </c>
      <c r="C5">
        <v>56.23</v>
      </c>
      <c r="D5">
        <v>56.17</v>
      </c>
      <c r="E5" s="10">
        <f t="shared" ref="E5:E16" si="6">AVERAGE(C5:D5)</f>
        <v>56.2</v>
      </c>
      <c r="F5">
        <f t="shared" ref="F5:F16" si="7">STDEV(C5:D5)</f>
        <v>4.2426406871189433E-2</v>
      </c>
      <c r="G5">
        <v>7.59</v>
      </c>
      <c r="H5">
        <v>7.56</v>
      </c>
      <c r="I5" s="10">
        <f t="shared" ref="I5:I16" si="8">AVERAGE(G5:H5)</f>
        <v>7.5749999999999993</v>
      </c>
      <c r="J5">
        <f t="shared" si="0"/>
        <v>2.12132034355966E-2</v>
      </c>
      <c r="K5">
        <v>2.42</v>
      </c>
      <c r="L5">
        <v>2.39</v>
      </c>
      <c r="M5" s="10">
        <f>AVERAGE(K5:L5)</f>
        <v>2.4050000000000002</v>
      </c>
      <c r="N5">
        <f t="shared" si="1"/>
        <v>2.1213203435596288E-2</v>
      </c>
      <c r="O5" s="10">
        <f t="shared" si="3"/>
        <v>33.819999999999993</v>
      </c>
      <c r="Q5" s="14">
        <f t="shared" si="2"/>
        <v>0.13478647686832737</v>
      </c>
      <c r="R5" s="7">
        <f>M5/E5</f>
        <v>4.2793594306049822E-2</v>
      </c>
      <c r="S5" s="15">
        <f t="shared" si="5"/>
        <v>0.60177935943060479</v>
      </c>
      <c r="T5">
        <f>100-(R5/R2*100)</f>
        <v>10.962296310170444</v>
      </c>
    </row>
    <row r="6" spans="1:20" x14ac:dyDescent="0.2">
      <c r="A6" t="s">
        <v>30</v>
      </c>
      <c r="B6">
        <v>4</v>
      </c>
      <c r="C6">
        <v>56.43</v>
      </c>
      <c r="D6">
        <v>55.29</v>
      </c>
      <c r="E6" s="10">
        <f t="shared" si="6"/>
        <v>55.86</v>
      </c>
      <c r="F6">
        <f t="shared" si="7"/>
        <v>0.80610173055266454</v>
      </c>
      <c r="G6">
        <v>7.66</v>
      </c>
      <c r="H6">
        <v>7.3</v>
      </c>
      <c r="I6" s="10">
        <f t="shared" si="8"/>
        <v>7.48</v>
      </c>
      <c r="J6">
        <f t="shared" si="0"/>
        <v>0.25455844122715737</v>
      </c>
      <c r="K6">
        <v>2.5099999999999998</v>
      </c>
      <c r="L6">
        <v>2.39</v>
      </c>
      <c r="M6" s="10">
        <f t="shared" ref="M6:M16" si="9">AVERAGE(K6:L6)</f>
        <v>2.4500000000000002</v>
      </c>
      <c r="N6">
        <f t="shared" si="1"/>
        <v>8.4852813742385472E-2</v>
      </c>
      <c r="O6" s="10">
        <f t="shared" si="3"/>
        <v>34.209999999999994</v>
      </c>
      <c r="Q6" s="14">
        <f t="shared" si="2"/>
        <v>0.13390619405657</v>
      </c>
      <c r="R6" s="7">
        <f t="shared" si="4"/>
        <v>4.3859649122807022E-2</v>
      </c>
      <c r="S6" s="15">
        <f t="shared" si="5"/>
        <v>0.61242391693519505</v>
      </c>
      <c r="T6">
        <f>100-(R6/R2*100)</f>
        <v>8.744228993536467</v>
      </c>
    </row>
    <row r="7" spans="1:20" x14ac:dyDescent="0.2">
      <c r="A7" t="s">
        <v>31</v>
      </c>
      <c r="B7">
        <v>5</v>
      </c>
      <c r="C7">
        <v>56.72</v>
      </c>
      <c r="D7">
        <v>56.36</v>
      </c>
      <c r="E7" s="10">
        <f t="shared" si="6"/>
        <v>56.54</v>
      </c>
      <c r="F7">
        <f t="shared" si="7"/>
        <v>0.25455844122715671</v>
      </c>
      <c r="G7">
        <v>7.72</v>
      </c>
      <c r="H7">
        <v>7.65</v>
      </c>
      <c r="I7" s="10">
        <f t="shared" si="8"/>
        <v>7.6850000000000005</v>
      </c>
      <c r="J7">
        <f t="shared" si="0"/>
        <v>4.9497474683057895E-2</v>
      </c>
      <c r="K7">
        <v>2.38</v>
      </c>
      <c r="L7">
        <v>2.15</v>
      </c>
      <c r="M7" s="10">
        <f t="shared" si="9"/>
        <v>2.2649999999999997</v>
      </c>
      <c r="N7">
        <f t="shared" si="1"/>
        <v>0.16263455967290591</v>
      </c>
      <c r="O7" s="10">
        <f t="shared" si="3"/>
        <v>33.51</v>
      </c>
      <c r="Q7" s="14">
        <f t="shared" si="2"/>
        <v>0.13592147152458436</v>
      </c>
      <c r="R7" s="7">
        <f t="shared" si="4"/>
        <v>4.0060134418111064E-2</v>
      </c>
      <c r="S7" s="15">
        <f t="shared" si="5"/>
        <v>0.5926777502652989</v>
      </c>
      <c r="T7">
        <f>100-(R7/R2*100)</f>
        <v>16.649619272801758</v>
      </c>
    </row>
    <row r="8" spans="1:20" x14ac:dyDescent="0.2">
      <c r="A8" t="s">
        <v>32</v>
      </c>
      <c r="B8">
        <v>6</v>
      </c>
      <c r="C8">
        <v>56.58</v>
      </c>
      <c r="D8">
        <v>56.02</v>
      </c>
      <c r="E8" s="10">
        <f t="shared" si="6"/>
        <v>56.3</v>
      </c>
      <c r="F8">
        <f t="shared" si="7"/>
        <v>0.39597979746446316</v>
      </c>
      <c r="G8">
        <v>7.62</v>
      </c>
      <c r="H8">
        <v>7.51</v>
      </c>
      <c r="I8" s="10">
        <f t="shared" si="8"/>
        <v>7.5649999999999995</v>
      </c>
      <c r="J8">
        <f t="shared" si="0"/>
        <v>7.7781745930520452E-2</v>
      </c>
      <c r="K8">
        <v>2.46</v>
      </c>
      <c r="L8">
        <v>2.3199999999999998</v>
      </c>
      <c r="M8" s="10">
        <f t="shared" si="9"/>
        <v>2.3899999999999997</v>
      </c>
      <c r="N8">
        <f t="shared" si="1"/>
        <v>9.8994949366116733E-2</v>
      </c>
      <c r="O8" s="10">
        <f t="shared" si="3"/>
        <v>33.745000000000005</v>
      </c>
      <c r="Q8" s="14">
        <f t="shared" ref="Q8:Q16" si="10">I8/E8</f>
        <v>0.13436944937833037</v>
      </c>
      <c r="R8" s="7">
        <f t="shared" si="4"/>
        <v>4.2451154529307276E-2</v>
      </c>
      <c r="S8" s="15">
        <f t="shared" si="5"/>
        <v>0.59937833037300192</v>
      </c>
      <c r="T8">
        <f>100-(R8/R2*100)</f>
        <v>11.674787323548657</v>
      </c>
    </row>
    <row r="9" spans="1:20" x14ac:dyDescent="0.2">
      <c r="A9" t="s">
        <v>28</v>
      </c>
      <c r="B9">
        <v>7</v>
      </c>
      <c r="C9">
        <v>56.37</v>
      </c>
      <c r="D9">
        <v>55.29</v>
      </c>
      <c r="E9" s="10">
        <f t="shared" si="6"/>
        <v>55.83</v>
      </c>
      <c r="F9">
        <f t="shared" si="7"/>
        <v>0.76367532368147018</v>
      </c>
      <c r="G9">
        <v>7.69</v>
      </c>
      <c r="H9">
        <v>7.51</v>
      </c>
      <c r="I9" s="10">
        <f t="shared" si="8"/>
        <v>7.6</v>
      </c>
      <c r="J9">
        <f t="shared" si="0"/>
        <v>0.12727922061357899</v>
      </c>
      <c r="K9">
        <v>2.4</v>
      </c>
      <c r="L9">
        <v>2.38</v>
      </c>
      <c r="M9" s="10">
        <f t="shared" si="9"/>
        <v>2.3899999999999997</v>
      </c>
      <c r="N9">
        <f t="shared" si="1"/>
        <v>1.4142135623730963E-2</v>
      </c>
      <c r="O9" s="10">
        <f t="shared" si="3"/>
        <v>34.18</v>
      </c>
      <c r="Q9" s="14">
        <f t="shared" si="10"/>
        <v>0.13612753000179115</v>
      </c>
      <c r="R9" s="7">
        <f t="shared" si="4"/>
        <v>4.2808525882142213E-2</v>
      </c>
      <c r="S9" s="15">
        <f t="shared" si="5"/>
        <v>0.61221565466595018</v>
      </c>
      <c r="T9">
        <f>100-(R9/R2*100)</f>
        <v>10.931229201429161</v>
      </c>
    </row>
    <row r="10" spans="1:20" x14ac:dyDescent="0.2">
      <c r="A10" t="s">
        <v>29</v>
      </c>
      <c r="B10">
        <v>8</v>
      </c>
      <c r="C10">
        <v>56.41</v>
      </c>
      <c r="D10">
        <v>55.9</v>
      </c>
      <c r="E10" s="10">
        <f t="shared" si="6"/>
        <v>56.155000000000001</v>
      </c>
      <c r="F10">
        <f t="shared" si="7"/>
        <v>0.36062445840513785</v>
      </c>
      <c r="G10">
        <v>7.73</v>
      </c>
      <c r="H10">
        <v>7.67</v>
      </c>
      <c r="I10" s="10">
        <f t="shared" si="8"/>
        <v>7.7</v>
      </c>
      <c r="J10">
        <f t="shared" si="0"/>
        <v>4.2426406871193201E-2</v>
      </c>
      <c r="K10">
        <v>2.3199999999999998</v>
      </c>
      <c r="L10">
        <v>2.27</v>
      </c>
      <c r="M10" s="10">
        <f t="shared" si="9"/>
        <v>2.2949999999999999</v>
      </c>
      <c r="N10">
        <f t="shared" si="1"/>
        <v>3.5355339059327251E-2</v>
      </c>
      <c r="O10" s="10">
        <f t="shared" si="3"/>
        <v>33.849999999999994</v>
      </c>
      <c r="Q10" s="14">
        <f t="shared" si="10"/>
        <v>0.13712047012732614</v>
      </c>
      <c r="R10" s="7">
        <f t="shared" si="4"/>
        <v>4.0869023239248507E-2</v>
      </c>
      <c r="S10" s="15">
        <f t="shared" si="5"/>
        <v>0.6027958329623363</v>
      </c>
      <c r="T10">
        <f>100-(R10/R2*100)</f>
        <v>14.96661964768569</v>
      </c>
    </row>
    <row r="11" spans="1:20" x14ac:dyDescent="0.2">
      <c r="A11" t="s">
        <v>33</v>
      </c>
      <c r="B11">
        <v>9</v>
      </c>
      <c r="C11">
        <v>56.33</v>
      </c>
      <c r="D11">
        <v>55.9</v>
      </c>
      <c r="E11" s="10">
        <f t="shared" si="6"/>
        <v>56.114999999999995</v>
      </c>
      <c r="F11">
        <f t="shared" si="7"/>
        <v>0.30405591591021525</v>
      </c>
      <c r="G11">
        <v>7.68</v>
      </c>
      <c r="H11">
        <v>7.58</v>
      </c>
      <c r="I11" s="10">
        <f t="shared" si="8"/>
        <v>7.63</v>
      </c>
      <c r="J11">
        <f t="shared" si="0"/>
        <v>7.0710678118654502E-2</v>
      </c>
      <c r="K11">
        <v>2.38</v>
      </c>
      <c r="L11">
        <v>2.2999999999999998</v>
      </c>
      <c r="M11" s="10">
        <f t="shared" si="9"/>
        <v>2.34</v>
      </c>
      <c r="N11">
        <f t="shared" si="1"/>
        <v>5.6568542494923851E-2</v>
      </c>
      <c r="O11" s="10">
        <f t="shared" si="3"/>
        <v>33.915000000000006</v>
      </c>
      <c r="Q11" s="14">
        <f t="shared" si="10"/>
        <v>0.1359707743027711</v>
      </c>
      <c r="R11" s="7">
        <f t="shared" si="4"/>
        <v>4.1700080192461908E-2</v>
      </c>
      <c r="S11" s="15">
        <f t="shared" si="5"/>
        <v>0.60438385458433586</v>
      </c>
      <c r="T11">
        <f>100-(R11/R2*100)</f>
        <v>13.23749630692609</v>
      </c>
    </row>
    <row r="12" spans="1:20" x14ac:dyDescent="0.2">
      <c r="A12" t="s">
        <v>34</v>
      </c>
      <c r="B12">
        <v>10</v>
      </c>
      <c r="C12">
        <v>56.3</v>
      </c>
      <c r="D12">
        <v>56.12</v>
      </c>
      <c r="E12" s="10">
        <f t="shared" si="6"/>
        <v>56.209999999999994</v>
      </c>
      <c r="F12">
        <f t="shared" si="7"/>
        <v>0.12727922061357835</v>
      </c>
      <c r="G12">
        <v>7.72</v>
      </c>
      <c r="H12">
        <v>7.64</v>
      </c>
      <c r="I12" s="10">
        <f t="shared" si="8"/>
        <v>7.68</v>
      </c>
      <c r="J12">
        <f t="shared" si="0"/>
        <v>5.6568542494923851E-2</v>
      </c>
      <c r="K12">
        <v>2.35</v>
      </c>
      <c r="L12">
        <v>2.2200000000000002</v>
      </c>
      <c r="M12" s="10">
        <f t="shared" si="9"/>
        <v>2.2850000000000001</v>
      </c>
      <c r="N12">
        <f t="shared" si="1"/>
        <v>9.1923881554251102E-2</v>
      </c>
      <c r="O12" s="10">
        <f t="shared" si="3"/>
        <v>33.825000000000003</v>
      </c>
      <c r="Q12" s="14">
        <f t="shared" si="10"/>
        <v>0.13663049279487638</v>
      </c>
      <c r="R12" s="7">
        <f t="shared" si="4"/>
        <v>4.065112969222559E-2</v>
      </c>
      <c r="S12" s="15">
        <f t="shared" si="5"/>
        <v>0.60176125244618406</v>
      </c>
      <c r="T12">
        <f>100-(R12/R2*100)</f>
        <v>15.419975842470407</v>
      </c>
    </row>
    <row r="13" spans="1:20" x14ac:dyDescent="0.2">
      <c r="A13" t="s">
        <v>35</v>
      </c>
      <c r="B13">
        <v>11</v>
      </c>
      <c r="C13">
        <v>56.23</v>
      </c>
      <c r="D13">
        <v>55.85</v>
      </c>
      <c r="E13" s="10">
        <f t="shared" si="6"/>
        <v>56.04</v>
      </c>
      <c r="F13">
        <f t="shared" si="7"/>
        <v>0.26870057685088483</v>
      </c>
      <c r="G13">
        <v>7.74</v>
      </c>
      <c r="H13">
        <v>7.58</v>
      </c>
      <c r="I13" s="10">
        <f t="shared" si="8"/>
        <v>7.66</v>
      </c>
      <c r="J13">
        <f t="shared" si="0"/>
        <v>0.1131370849898477</v>
      </c>
      <c r="K13">
        <v>2.35</v>
      </c>
      <c r="L13">
        <v>2.25</v>
      </c>
      <c r="M13" s="10">
        <f t="shared" si="9"/>
        <v>2.2999999999999998</v>
      </c>
      <c r="N13">
        <f t="shared" si="1"/>
        <v>7.0710678118654821E-2</v>
      </c>
      <c r="O13" s="10">
        <f t="shared" si="3"/>
        <v>34</v>
      </c>
      <c r="Q13" s="14">
        <f t="shared" si="10"/>
        <v>0.13668807994289794</v>
      </c>
      <c r="R13" s="7">
        <f t="shared" si="4"/>
        <v>4.1042112776588147E-2</v>
      </c>
      <c r="S13" s="15">
        <f t="shared" si="5"/>
        <v>0.60670949321912915</v>
      </c>
      <c r="T13">
        <f>100-(R13/R2*100)</f>
        <v>14.60648409031144</v>
      </c>
    </row>
    <row r="14" spans="1:20" x14ac:dyDescent="0.2">
      <c r="A14" t="s">
        <v>36</v>
      </c>
      <c r="B14">
        <v>12</v>
      </c>
      <c r="C14">
        <v>56.89</v>
      </c>
      <c r="D14">
        <v>56.59</v>
      </c>
      <c r="E14" s="10">
        <f t="shared" si="6"/>
        <v>56.74</v>
      </c>
      <c r="F14">
        <f t="shared" si="7"/>
        <v>0.21213203435596223</v>
      </c>
      <c r="G14">
        <v>7.63</v>
      </c>
      <c r="H14">
        <v>7.57</v>
      </c>
      <c r="I14" s="10">
        <f t="shared" si="8"/>
        <v>7.6</v>
      </c>
      <c r="J14">
        <f t="shared" si="0"/>
        <v>4.2426406871192576E-2</v>
      </c>
      <c r="K14">
        <v>2.46</v>
      </c>
      <c r="L14">
        <v>2.35</v>
      </c>
      <c r="M14" s="10">
        <f t="shared" si="9"/>
        <v>2.4050000000000002</v>
      </c>
      <c r="N14">
        <f t="shared" si="1"/>
        <v>7.7781745930520133E-2</v>
      </c>
      <c r="O14" s="10">
        <f t="shared" si="3"/>
        <v>33.254999999999995</v>
      </c>
      <c r="Q14" s="14">
        <f t="shared" si="10"/>
        <v>0.13394430736693688</v>
      </c>
      <c r="R14" s="7">
        <f t="shared" si="4"/>
        <v>4.2386323581247796E-2</v>
      </c>
      <c r="S14" s="15">
        <f t="shared" si="5"/>
        <v>0.58609446598519555</v>
      </c>
      <c r="T14">
        <f>100-(R14/R2*100)</f>
        <v>11.809676641374324</v>
      </c>
    </row>
    <row r="15" spans="1:20" x14ac:dyDescent="0.2">
      <c r="A15" t="s">
        <v>37</v>
      </c>
      <c r="B15">
        <v>13</v>
      </c>
      <c r="C15">
        <v>57.15</v>
      </c>
      <c r="D15">
        <v>56.67</v>
      </c>
      <c r="E15" s="10">
        <f t="shared" si="6"/>
        <v>56.91</v>
      </c>
      <c r="F15">
        <f t="shared" si="7"/>
        <v>0.33941125496954061</v>
      </c>
      <c r="G15">
        <v>7.67</v>
      </c>
      <c r="H15">
        <v>7.58</v>
      </c>
      <c r="I15" s="10">
        <f t="shared" si="8"/>
        <v>7.625</v>
      </c>
      <c r="J15">
        <f t="shared" si="0"/>
        <v>6.3639610306789177E-2</v>
      </c>
      <c r="K15">
        <v>2.52</v>
      </c>
      <c r="L15">
        <v>2.4300000000000002</v>
      </c>
      <c r="M15" s="10">
        <f t="shared" si="9"/>
        <v>2.4750000000000001</v>
      </c>
      <c r="N15">
        <f t="shared" si="1"/>
        <v>6.3639610306789177E-2</v>
      </c>
      <c r="O15" s="10">
        <f t="shared" si="3"/>
        <v>32.99</v>
      </c>
      <c r="Q15" s="14">
        <f t="shared" si="10"/>
        <v>0.13398348269196977</v>
      </c>
      <c r="R15" s="7">
        <f t="shared" si="4"/>
        <v>4.3489720611491832E-2</v>
      </c>
      <c r="S15" s="15">
        <f t="shared" si="5"/>
        <v>0.57968722544368312</v>
      </c>
      <c r="T15">
        <f>100-(R15/R2*100)</f>
        <v>9.5139139361318286</v>
      </c>
    </row>
    <row r="16" spans="1:20" x14ac:dyDescent="0.2">
      <c r="A16" t="s">
        <v>38</v>
      </c>
      <c r="B16">
        <v>14</v>
      </c>
      <c r="C16">
        <v>56.98</v>
      </c>
      <c r="D16">
        <v>56.86</v>
      </c>
      <c r="E16" s="10">
        <f t="shared" si="6"/>
        <v>56.92</v>
      </c>
      <c r="F16">
        <f t="shared" si="7"/>
        <v>8.485281374238389E-2</v>
      </c>
      <c r="G16">
        <v>7.55</v>
      </c>
      <c r="H16">
        <v>7.51</v>
      </c>
      <c r="I16" s="10">
        <f t="shared" si="8"/>
        <v>7.5299999999999994</v>
      </c>
      <c r="J16">
        <f t="shared" si="0"/>
        <v>2.8284271247461926E-2</v>
      </c>
      <c r="K16">
        <v>2.61</v>
      </c>
      <c r="L16">
        <v>2.56</v>
      </c>
      <c r="M16" s="10">
        <f t="shared" si="9"/>
        <v>2.585</v>
      </c>
      <c r="N16">
        <f t="shared" si="1"/>
        <v>3.5355339059327251E-2</v>
      </c>
      <c r="O16" s="10">
        <f t="shared" si="3"/>
        <v>32.964999999999996</v>
      </c>
      <c r="Q16" s="14">
        <f t="shared" si="10"/>
        <v>0.13229093464511593</v>
      </c>
      <c r="R16" s="7">
        <f t="shared" si="4"/>
        <v>4.5414617006324667E-2</v>
      </c>
      <c r="S16" s="15">
        <f t="shared" si="5"/>
        <v>0.57914617006324653</v>
      </c>
      <c r="T16">
        <f>100-(R16/R2*100)</f>
        <v>5.5089137108406874</v>
      </c>
    </row>
    <row r="17" spans="1:20" x14ac:dyDescent="0.2">
      <c r="A17" t="s">
        <v>39</v>
      </c>
      <c r="B17">
        <v>15</v>
      </c>
      <c r="C17">
        <v>57.01</v>
      </c>
      <c r="D17">
        <v>56.6</v>
      </c>
      <c r="E17" s="10">
        <f t="shared" ref="E17:E75" si="11">AVERAGE(C17:D17)</f>
        <v>56.805</v>
      </c>
      <c r="F17">
        <f t="shared" ref="F17:F29" si="12">STDEV(C17:D17)</f>
        <v>0.28991378028648207</v>
      </c>
      <c r="G17">
        <v>7.82</v>
      </c>
      <c r="H17">
        <v>7.65</v>
      </c>
      <c r="I17" s="10">
        <f t="shared" ref="I17:I75" si="13">AVERAGE(G17:H17)</f>
        <v>7.7350000000000003</v>
      </c>
      <c r="J17">
        <f t="shared" ref="J17:J30" si="14">STDEV(G17:H17)</f>
        <v>0.12020815280171303</v>
      </c>
      <c r="K17">
        <v>2.3199999999999998</v>
      </c>
      <c r="L17">
        <v>2.1</v>
      </c>
      <c r="M17" s="10">
        <f t="shared" ref="M17:M75" si="15">AVERAGE(K17:L17)</f>
        <v>2.21</v>
      </c>
      <c r="N17">
        <f t="shared" ref="N17:N30" si="16">STDEV(K17:L17)</f>
        <v>0.15556349186104027</v>
      </c>
      <c r="O17" s="10">
        <f t="shared" ref="O17:O75" si="17">100-E17-I17-M17</f>
        <v>33.25</v>
      </c>
      <c r="Q17" s="14">
        <f t="shared" ref="Q17:Q75" si="18">I17/E17</f>
        <v>0.1361675908810844</v>
      </c>
      <c r="R17" s="7">
        <f t="shared" ref="R17:R30" si="19">M17/E17</f>
        <v>3.8905025966024118E-2</v>
      </c>
      <c r="S17" s="15">
        <f>O17/E17</f>
        <v>0.58533579790511403</v>
      </c>
      <c r="T17">
        <f>100-(R17/R2*100)</f>
        <v>19.052974395322877</v>
      </c>
    </row>
    <row r="18" spans="1:20" x14ac:dyDescent="0.2">
      <c r="A18" t="s">
        <v>40</v>
      </c>
      <c r="B18">
        <v>16</v>
      </c>
      <c r="C18">
        <v>57.64</v>
      </c>
      <c r="D18">
        <v>57.54</v>
      </c>
      <c r="E18" s="10">
        <f t="shared" si="11"/>
        <v>57.59</v>
      </c>
      <c r="F18">
        <f t="shared" si="12"/>
        <v>7.0710678118655765E-2</v>
      </c>
      <c r="G18">
        <v>7.88</v>
      </c>
      <c r="H18">
        <v>7.66</v>
      </c>
      <c r="I18" s="10">
        <f t="shared" si="13"/>
        <v>7.77</v>
      </c>
      <c r="J18">
        <f t="shared" si="14"/>
        <v>0.15556349186104027</v>
      </c>
      <c r="K18">
        <v>2.29</v>
      </c>
      <c r="L18">
        <v>2</v>
      </c>
      <c r="M18" s="10">
        <f t="shared" si="15"/>
        <v>2.145</v>
      </c>
      <c r="N18">
        <f t="shared" si="16"/>
        <v>0.2050609665440988</v>
      </c>
      <c r="O18" s="10">
        <f t="shared" si="17"/>
        <v>32.494999999999997</v>
      </c>
      <c r="Q18" s="14">
        <f t="shared" si="18"/>
        <v>0.13491925681541933</v>
      </c>
      <c r="R18" s="7">
        <f t="shared" si="19"/>
        <v>3.724604966139955E-2</v>
      </c>
      <c r="S18" s="15">
        <f>O18/E18</f>
        <v>0.56424726515019963</v>
      </c>
      <c r="T18">
        <f>100-(R18/R2*100)</f>
        <v>22.504692883450147</v>
      </c>
    </row>
    <row r="19" spans="1:20" x14ac:dyDescent="0.2">
      <c r="A19" t="s">
        <v>41</v>
      </c>
      <c r="B19">
        <v>17</v>
      </c>
      <c r="C19">
        <v>57.31</v>
      </c>
      <c r="D19">
        <v>57.08</v>
      </c>
      <c r="E19" s="10">
        <f t="shared" si="11"/>
        <v>57.195</v>
      </c>
      <c r="F19">
        <f t="shared" si="12"/>
        <v>0.16263455967290874</v>
      </c>
      <c r="G19">
        <v>7.76</v>
      </c>
      <c r="H19">
        <v>7.71</v>
      </c>
      <c r="I19" s="10">
        <f t="shared" si="13"/>
        <v>7.7349999999999994</v>
      </c>
      <c r="J19">
        <f t="shared" si="14"/>
        <v>3.5355339059327251E-2</v>
      </c>
      <c r="K19">
        <v>2.31</v>
      </c>
      <c r="L19">
        <v>2.1800000000000002</v>
      </c>
      <c r="M19" s="10">
        <f t="shared" si="15"/>
        <v>2.2450000000000001</v>
      </c>
      <c r="N19">
        <f t="shared" si="16"/>
        <v>9.1923881554251102E-2</v>
      </c>
      <c r="O19" s="10">
        <f t="shared" si="17"/>
        <v>32.825000000000003</v>
      </c>
      <c r="Q19" s="14">
        <f t="shared" si="18"/>
        <v>0.13523909432642711</v>
      </c>
      <c r="R19" s="7">
        <f t="shared" si="19"/>
        <v>3.9251682839409038E-2</v>
      </c>
      <c r="S19" s="15">
        <f>O19/E19</f>
        <v>0.57391380365416567</v>
      </c>
      <c r="T19">
        <f>100-(R19/R2*100)</f>
        <v>18.331709157499049</v>
      </c>
    </row>
    <row r="20" spans="1:20" x14ac:dyDescent="0.2">
      <c r="A20" t="s">
        <v>42</v>
      </c>
      <c r="B20">
        <v>18</v>
      </c>
      <c r="C20">
        <v>57.52</v>
      </c>
      <c r="D20">
        <v>56.95</v>
      </c>
      <c r="E20" s="10">
        <f t="shared" si="11"/>
        <v>57.234999999999999</v>
      </c>
      <c r="F20">
        <f t="shared" si="12"/>
        <v>0.40305086527633227</v>
      </c>
      <c r="G20">
        <v>7.75</v>
      </c>
      <c r="H20">
        <v>7.68</v>
      </c>
      <c r="I20" s="10">
        <f t="shared" si="13"/>
        <v>7.7149999999999999</v>
      </c>
      <c r="J20">
        <f t="shared" si="14"/>
        <v>4.9497474683058526E-2</v>
      </c>
      <c r="K20">
        <v>2.34</v>
      </c>
      <c r="L20">
        <v>2.29</v>
      </c>
      <c r="M20" s="10">
        <f t="shared" si="15"/>
        <v>2.3149999999999999</v>
      </c>
      <c r="N20">
        <f t="shared" si="16"/>
        <v>3.5355339059327251E-2</v>
      </c>
      <c r="O20" s="10">
        <f t="shared" si="17"/>
        <v>32.734999999999999</v>
      </c>
      <c r="Q20" s="14">
        <f t="shared" si="18"/>
        <v>0.13479514283218311</v>
      </c>
      <c r="R20" s="7">
        <f t="shared" si="19"/>
        <v>4.0447278762994671E-2</v>
      </c>
      <c r="S20" s="15">
        <f>O20/E20</f>
        <v>0.5719402463527562</v>
      </c>
      <c r="T20">
        <f>100-(R20/R2*100)</f>
        <v>15.844114523226025</v>
      </c>
    </row>
    <row r="21" spans="1:20" x14ac:dyDescent="0.2">
      <c r="A21" t="s">
        <v>43</v>
      </c>
      <c r="B21">
        <v>19</v>
      </c>
      <c r="C21">
        <v>57.38</v>
      </c>
      <c r="D21">
        <v>57.22</v>
      </c>
      <c r="E21" s="10">
        <f t="shared" si="11"/>
        <v>57.3</v>
      </c>
      <c r="F21">
        <f t="shared" si="12"/>
        <v>0.11313708498985021</v>
      </c>
      <c r="G21">
        <v>7.85</v>
      </c>
      <c r="H21">
        <v>7.65</v>
      </c>
      <c r="I21" s="10">
        <f t="shared" si="13"/>
        <v>7.75</v>
      </c>
      <c r="J21">
        <f t="shared" si="14"/>
        <v>0.141421356237309</v>
      </c>
      <c r="K21">
        <v>2.33</v>
      </c>
      <c r="L21">
        <v>2.2999999999999998</v>
      </c>
      <c r="M21" s="10">
        <f t="shared" si="15"/>
        <v>2.3149999999999999</v>
      </c>
      <c r="N21">
        <f t="shared" si="16"/>
        <v>2.12132034355966E-2</v>
      </c>
      <c r="O21" s="10">
        <f t="shared" si="17"/>
        <v>32.635000000000005</v>
      </c>
      <c r="Q21" s="14">
        <f t="shared" si="18"/>
        <v>0.13525305410122165</v>
      </c>
      <c r="R21" s="7">
        <f t="shared" si="19"/>
        <v>4.0401396160558468E-2</v>
      </c>
      <c r="S21" s="15">
        <f>O21/E21</f>
        <v>0.56954624781849927</v>
      </c>
      <c r="T21">
        <f>100-(R21/R2*100)</f>
        <v>15.939579314779081</v>
      </c>
    </row>
    <row r="22" spans="1:20" x14ac:dyDescent="0.2">
      <c r="A22" t="s">
        <v>44</v>
      </c>
      <c r="B22">
        <v>20</v>
      </c>
      <c r="C22">
        <v>59.39</v>
      </c>
      <c r="D22">
        <v>57.37</v>
      </c>
      <c r="E22" s="10">
        <f t="shared" si="11"/>
        <v>58.379999999999995</v>
      </c>
      <c r="F22">
        <f t="shared" si="12"/>
        <v>1.4283556979968284</v>
      </c>
      <c r="G22">
        <v>8.24</v>
      </c>
      <c r="H22">
        <v>7.82</v>
      </c>
      <c r="I22" s="10">
        <f t="shared" si="13"/>
        <v>8.0300000000000011</v>
      </c>
      <c r="J22">
        <f t="shared" si="14"/>
        <v>0.29698484809834991</v>
      </c>
      <c r="K22">
        <v>2.2000000000000002</v>
      </c>
      <c r="L22">
        <v>1.98</v>
      </c>
      <c r="M22" s="10">
        <f t="shared" si="15"/>
        <v>2.09</v>
      </c>
      <c r="N22">
        <f t="shared" si="16"/>
        <v>0.1555634918610406</v>
      </c>
      <c r="O22" s="10">
        <f t="shared" si="17"/>
        <v>31.500000000000004</v>
      </c>
      <c r="Q22" s="14">
        <f t="shared" si="18"/>
        <v>0.13754710517300447</v>
      </c>
      <c r="R22" s="7">
        <f t="shared" si="19"/>
        <v>3.5799931483384721E-2</v>
      </c>
      <c r="S22" s="15">
        <f t="shared" ref="S22:S30" si="20">O22/E22</f>
        <v>0.53956834532374109</v>
      </c>
      <c r="T22">
        <f>100-(R22/R2*100)</f>
        <v>25.513532031517641</v>
      </c>
    </row>
    <row r="23" spans="1:20" x14ac:dyDescent="0.2">
      <c r="A23" t="s">
        <v>45</v>
      </c>
      <c r="B23">
        <v>21</v>
      </c>
      <c r="C23">
        <v>57.91</v>
      </c>
      <c r="D23">
        <v>57.69</v>
      </c>
      <c r="E23" s="10">
        <f t="shared" si="11"/>
        <v>57.8</v>
      </c>
      <c r="F23">
        <f t="shared" si="12"/>
        <v>0.15556349186103965</v>
      </c>
      <c r="G23">
        <v>7.9</v>
      </c>
      <c r="H23">
        <v>7.79</v>
      </c>
      <c r="I23" s="10">
        <f t="shared" si="13"/>
        <v>7.8450000000000006</v>
      </c>
      <c r="J23">
        <f t="shared" si="14"/>
        <v>7.7781745930520452E-2</v>
      </c>
      <c r="K23">
        <v>2.38</v>
      </c>
      <c r="L23">
        <v>2.27</v>
      </c>
      <c r="M23" s="10">
        <f t="shared" si="15"/>
        <v>2.3250000000000002</v>
      </c>
      <c r="N23">
        <f t="shared" si="16"/>
        <v>7.7781745930520133E-2</v>
      </c>
      <c r="O23" s="10">
        <f t="shared" si="17"/>
        <v>32.03</v>
      </c>
      <c r="Q23" s="14">
        <f t="shared" si="18"/>
        <v>0.13572664359861594</v>
      </c>
      <c r="R23" s="7">
        <f t="shared" si="19"/>
        <v>4.0224913494809694E-2</v>
      </c>
      <c r="S23" s="15">
        <f t="shared" si="20"/>
        <v>0.55415224913494809</v>
      </c>
      <c r="T23">
        <f>100-(R23/R2*100)</f>
        <v>16.306774722272792</v>
      </c>
    </row>
    <row r="24" spans="1:20" x14ac:dyDescent="0.2">
      <c r="A24" t="s">
        <v>46</v>
      </c>
      <c r="B24">
        <v>22</v>
      </c>
      <c r="C24">
        <v>57.31</v>
      </c>
      <c r="D24">
        <v>56.79</v>
      </c>
      <c r="E24" s="10">
        <f t="shared" si="11"/>
        <v>57.05</v>
      </c>
      <c r="F24">
        <f t="shared" si="12"/>
        <v>0.36769552621700691</v>
      </c>
      <c r="G24">
        <v>7.68</v>
      </c>
      <c r="H24">
        <v>7.56</v>
      </c>
      <c r="I24" s="10">
        <f t="shared" si="13"/>
        <v>7.6199999999999992</v>
      </c>
      <c r="J24">
        <f t="shared" si="14"/>
        <v>8.4852813742385777E-2</v>
      </c>
      <c r="K24">
        <v>2.4900000000000002</v>
      </c>
      <c r="L24">
        <v>2.4500000000000002</v>
      </c>
      <c r="M24" s="10">
        <f t="shared" si="15"/>
        <v>2.4700000000000002</v>
      </c>
      <c r="N24">
        <f t="shared" si="16"/>
        <v>2.8284271247461926E-2</v>
      </c>
      <c r="O24" s="10">
        <f t="shared" si="17"/>
        <v>32.860000000000007</v>
      </c>
      <c r="Q24" s="14">
        <f t="shared" si="18"/>
        <v>0.13356704645048204</v>
      </c>
      <c r="R24" s="7">
        <f t="shared" si="19"/>
        <v>4.3295354951796677E-2</v>
      </c>
      <c r="S24" s="15">
        <f t="shared" si="20"/>
        <v>0.57598597721297118</v>
      </c>
      <c r="T24">
        <f>100-(R24/R2*100)</f>
        <v>9.9183172655565102</v>
      </c>
    </row>
    <row r="25" spans="1:20" x14ac:dyDescent="0.2">
      <c r="A25" t="s">
        <v>47</v>
      </c>
      <c r="B25">
        <v>23</v>
      </c>
      <c r="C25">
        <v>60.81</v>
      </c>
      <c r="D25">
        <v>8.16</v>
      </c>
      <c r="E25" s="10">
        <f t="shared" si="11"/>
        <v>34.484999999999999</v>
      </c>
      <c r="F25">
        <f t="shared" si="12"/>
        <v>37.229172029471734</v>
      </c>
      <c r="G25">
        <v>8.42</v>
      </c>
      <c r="H25">
        <v>7.79</v>
      </c>
      <c r="I25" s="10">
        <f t="shared" si="13"/>
        <v>8.1050000000000004</v>
      </c>
      <c r="J25">
        <f t="shared" si="14"/>
        <v>0.44547727214752486</v>
      </c>
      <c r="K25">
        <v>2.46</v>
      </c>
      <c r="L25">
        <v>2.17</v>
      </c>
      <c r="M25" s="10">
        <f t="shared" si="15"/>
        <v>2.3149999999999999</v>
      </c>
      <c r="N25">
        <f t="shared" si="16"/>
        <v>0.2050609665440988</v>
      </c>
      <c r="O25" s="10">
        <f t="shared" si="17"/>
        <v>55.094999999999999</v>
      </c>
      <c r="Q25" s="14">
        <f t="shared" si="18"/>
        <v>0.2350297230680006</v>
      </c>
      <c r="R25" s="7">
        <f t="shared" si="19"/>
        <v>6.713063650862694E-2</v>
      </c>
      <c r="S25" s="15">
        <f t="shared" si="20"/>
        <v>1.5976511526750761</v>
      </c>
      <c r="T25">
        <f>100-(R25/R2*100)</f>
        <v>-39.674122234686337</v>
      </c>
    </row>
    <row r="26" spans="1:20" x14ac:dyDescent="0.2">
      <c r="A26" t="s">
        <v>48</v>
      </c>
      <c r="B26">
        <v>24</v>
      </c>
      <c r="C26">
        <v>57.5</v>
      </c>
      <c r="D26">
        <v>57.4</v>
      </c>
      <c r="E26" s="10">
        <f t="shared" si="11"/>
        <v>57.45</v>
      </c>
      <c r="F26">
        <f t="shared" si="12"/>
        <v>7.0710678118655765E-2</v>
      </c>
      <c r="G26">
        <v>7.74</v>
      </c>
      <c r="H26">
        <v>7.72</v>
      </c>
      <c r="I26" s="10">
        <f t="shared" si="13"/>
        <v>7.73</v>
      </c>
      <c r="J26">
        <f t="shared" si="14"/>
        <v>1.4142135623731277E-2</v>
      </c>
      <c r="K26">
        <v>2.46</v>
      </c>
      <c r="L26">
        <v>2.44</v>
      </c>
      <c r="M26" s="10">
        <f t="shared" si="15"/>
        <v>2.4500000000000002</v>
      </c>
      <c r="N26">
        <f t="shared" si="16"/>
        <v>1.4142135623730963E-2</v>
      </c>
      <c r="O26" s="10">
        <f t="shared" si="17"/>
        <v>32.36999999999999</v>
      </c>
      <c r="Q26" s="14">
        <f t="shared" si="18"/>
        <v>0.13455178416013924</v>
      </c>
      <c r="R26" s="7">
        <f t="shared" si="19"/>
        <v>4.2645778938207139E-2</v>
      </c>
      <c r="S26" s="15">
        <f t="shared" si="20"/>
        <v>0.56344647519582225</v>
      </c>
      <c r="T26">
        <f>100-(R26/R2*100)</f>
        <v>11.269845632357644</v>
      </c>
    </row>
    <row r="27" spans="1:20" x14ac:dyDescent="0.2">
      <c r="A27" t="s">
        <v>49</v>
      </c>
      <c r="B27">
        <v>25</v>
      </c>
      <c r="C27">
        <v>57.21</v>
      </c>
      <c r="D27">
        <v>56.96</v>
      </c>
      <c r="E27" s="10">
        <f t="shared" si="11"/>
        <v>57.085000000000001</v>
      </c>
      <c r="F27">
        <f t="shared" si="12"/>
        <v>0.17677669529663689</v>
      </c>
      <c r="G27">
        <v>7.73</v>
      </c>
      <c r="H27">
        <v>7.71</v>
      </c>
      <c r="I27" s="10">
        <f t="shared" si="13"/>
        <v>7.7200000000000006</v>
      </c>
      <c r="J27">
        <f t="shared" si="14"/>
        <v>1.4142135623731277E-2</v>
      </c>
      <c r="K27">
        <v>2.4</v>
      </c>
      <c r="L27">
        <v>2.3199999999999998</v>
      </c>
      <c r="M27" s="10">
        <f t="shared" si="15"/>
        <v>2.36</v>
      </c>
      <c r="N27">
        <f t="shared" si="16"/>
        <v>5.6568542494923851E-2</v>
      </c>
      <c r="O27" s="10">
        <f t="shared" si="17"/>
        <v>32.835000000000001</v>
      </c>
      <c r="Q27" s="14">
        <f t="shared" si="18"/>
        <v>0.13523692738898135</v>
      </c>
      <c r="R27" s="7">
        <f t="shared" si="19"/>
        <v>4.1341858631864757E-2</v>
      </c>
      <c r="S27" s="15">
        <f t="shared" si="20"/>
        <v>0.5751948848208811</v>
      </c>
      <c r="T27">
        <f>100-(R27/R2*100)</f>
        <v>13.982823398164328</v>
      </c>
    </row>
    <row r="28" spans="1:20" x14ac:dyDescent="0.2">
      <c r="A28" t="s">
        <v>50</v>
      </c>
      <c r="B28">
        <v>26</v>
      </c>
      <c r="C28">
        <v>57.6</v>
      </c>
      <c r="D28">
        <v>57.27</v>
      </c>
      <c r="E28" s="10">
        <f t="shared" si="11"/>
        <v>57.435000000000002</v>
      </c>
      <c r="F28">
        <f t="shared" si="12"/>
        <v>0.23334523779155947</v>
      </c>
      <c r="G28">
        <v>7.73</v>
      </c>
      <c r="H28">
        <v>7.66</v>
      </c>
      <c r="I28" s="10">
        <f t="shared" si="13"/>
        <v>7.6950000000000003</v>
      </c>
      <c r="J28">
        <f t="shared" si="14"/>
        <v>4.9497474683058526E-2</v>
      </c>
      <c r="K28">
        <v>2.48</v>
      </c>
      <c r="L28">
        <v>2.41</v>
      </c>
      <c r="M28" s="10">
        <f t="shared" si="15"/>
        <v>2.4450000000000003</v>
      </c>
      <c r="N28">
        <f t="shared" si="16"/>
        <v>4.9497474683058214E-2</v>
      </c>
      <c r="O28" s="10">
        <f t="shared" si="17"/>
        <v>32.424999999999997</v>
      </c>
      <c r="Q28" s="14">
        <f t="shared" si="18"/>
        <v>0.13397753982763125</v>
      </c>
      <c r="R28" s="7">
        <f t="shared" si="19"/>
        <v>4.2569861582658658E-2</v>
      </c>
      <c r="S28" s="15">
        <f t="shared" si="20"/>
        <v>0.56455123182728295</v>
      </c>
      <c r="T28">
        <f>100-(R28/R2*100)</f>
        <v>11.427801679701986</v>
      </c>
    </row>
    <row r="29" spans="1:20" x14ac:dyDescent="0.2">
      <c r="A29" t="s">
        <v>51</v>
      </c>
      <c r="B29">
        <v>27</v>
      </c>
      <c r="C29">
        <v>56.79</v>
      </c>
      <c r="D29">
        <v>56.72</v>
      </c>
      <c r="E29" s="10">
        <f t="shared" si="11"/>
        <v>56.754999999999995</v>
      </c>
      <c r="F29">
        <f t="shared" si="12"/>
        <v>4.9497474683058526E-2</v>
      </c>
      <c r="G29">
        <v>7.67</v>
      </c>
      <c r="H29">
        <v>7.59</v>
      </c>
      <c r="I29" s="10">
        <f t="shared" si="13"/>
        <v>7.63</v>
      </c>
      <c r="J29">
        <f t="shared" si="14"/>
        <v>5.6568542494923851E-2</v>
      </c>
      <c r="K29">
        <v>2.4700000000000002</v>
      </c>
      <c r="L29">
        <v>2.4</v>
      </c>
      <c r="M29" s="10">
        <f t="shared" si="15"/>
        <v>2.4350000000000001</v>
      </c>
      <c r="N29">
        <f t="shared" si="16"/>
        <v>4.9497474683058526E-2</v>
      </c>
      <c r="O29" s="10">
        <f t="shared" si="17"/>
        <v>33.18</v>
      </c>
      <c r="Q29" s="14">
        <f t="shared" si="18"/>
        <v>0.13443749449387721</v>
      </c>
      <c r="R29" s="7">
        <f t="shared" si="19"/>
        <v>4.2903708924323852E-2</v>
      </c>
      <c r="S29" s="15">
        <f t="shared" si="20"/>
        <v>0.58461809532199815</v>
      </c>
      <c r="T29">
        <f>100-(R29/R2*100)</f>
        <v>10.733188358085755</v>
      </c>
    </row>
    <row r="30" spans="1:20" x14ac:dyDescent="0.2">
      <c r="A30" t="s">
        <v>52</v>
      </c>
      <c r="B30">
        <v>28</v>
      </c>
      <c r="C30">
        <v>57.27</v>
      </c>
      <c r="D30">
        <v>57.85</v>
      </c>
      <c r="E30" s="10">
        <f t="shared" si="11"/>
        <v>57.56</v>
      </c>
      <c r="F30">
        <f>STDEV(C30:D30)</f>
        <v>0.41012193308819639</v>
      </c>
      <c r="G30">
        <v>7.76</v>
      </c>
      <c r="H30">
        <v>7.7</v>
      </c>
      <c r="I30" s="10">
        <f t="shared" si="13"/>
        <v>7.73</v>
      </c>
      <c r="J30">
        <f t="shared" si="14"/>
        <v>4.2426406871192576E-2</v>
      </c>
      <c r="K30">
        <v>2.4300000000000002</v>
      </c>
      <c r="L30">
        <v>2.2999999999999998</v>
      </c>
      <c r="M30" s="10">
        <f t="shared" si="15"/>
        <v>2.3650000000000002</v>
      </c>
      <c r="N30">
        <f t="shared" si="16"/>
        <v>9.1923881554251421E-2</v>
      </c>
      <c r="O30" s="10">
        <f t="shared" si="17"/>
        <v>32.344999999999992</v>
      </c>
      <c r="Q30" s="14">
        <f t="shared" si="18"/>
        <v>0.13429464906184851</v>
      </c>
      <c r="R30" s="7">
        <f t="shared" si="19"/>
        <v>4.1087560806115357E-2</v>
      </c>
      <c r="S30" s="15">
        <f t="shared" si="20"/>
        <v>0.56193537178596231</v>
      </c>
      <c r="T30">
        <f>100-(R30/R2*100)</f>
        <v>14.511923484876192</v>
      </c>
    </row>
    <row r="31" spans="1:20" x14ac:dyDescent="0.2">
      <c r="A31" t="s">
        <v>142</v>
      </c>
      <c r="B31">
        <v>29</v>
      </c>
      <c r="C31">
        <v>56.22</v>
      </c>
      <c r="E31" s="10">
        <f t="shared" si="11"/>
        <v>56.22</v>
      </c>
      <c r="G31">
        <v>7.39</v>
      </c>
      <c r="I31" s="10">
        <f t="shared" si="13"/>
        <v>7.39</v>
      </c>
      <c r="K31">
        <v>2.5</v>
      </c>
      <c r="M31" s="10">
        <f t="shared" si="15"/>
        <v>2.5</v>
      </c>
      <c r="O31" s="10">
        <f t="shared" si="17"/>
        <v>33.89</v>
      </c>
      <c r="Q31" s="14">
        <f t="shared" si="18"/>
        <v>0.13144788331554608</v>
      </c>
      <c r="R31" s="7">
        <f t="shared" ref="R31:R75" si="21">M31/E31</f>
        <v>4.4468160796869445E-2</v>
      </c>
      <c r="S31" s="15">
        <f t="shared" ref="S31:S75" si="22">O31/E31</f>
        <v>0.60281038776236218</v>
      </c>
      <c r="T31">
        <f>100-(R31/R2*100)</f>
        <v>7.47814038832405</v>
      </c>
    </row>
    <row r="32" spans="1:20" x14ac:dyDescent="0.2">
      <c r="A32" t="s">
        <v>143</v>
      </c>
      <c r="B32">
        <v>30</v>
      </c>
      <c r="C32">
        <v>56.51</v>
      </c>
      <c r="E32" s="10">
        <f t="shared" si="11"/>
        <v>56.51</v>
      </c>
      <c r="G32">
        <v>7.43</v>
      </c>
      <c r="I32" s="10">
        <f t="shared" si="13"/>
        <v>7.43</v>
      </c>
      <c r="K32">
        <v>2.48</v>
      </c>
      <c r="M32" s="10">
        <f t="shared" si="15"/>
        <v>2.48</v>
      </c>
      <c r="O32" s="10">
        <f t="shared" si="17"/>
        <v>33.580000000000005</v>
      </c>
      <c r="Q32" s="14">
        <f t="shared" si="18"/>
        <v>0.13148115377809239</v>
      </c>
      <c r="R32" s="7">
        <f t="shared" si="21"/>
        <v>4.3886037869403649E-2</v>
      </c>
      <c r="S32" s="15">
        <f t="shared" si="22"/>
        <v>0.59423110953813496</v>
      </c>
      <c r="T32">
        <f>100-(R32/R2*100)</f>
        <v>8.6893237340386804</v>
      </c>
    </row>
    <row r="33" spans="1:20" x14ac:dyDescent="0.2">
      <c r="A33" t="s">
        <v>144</v>
      </c>
      <c r="B33">
        <v>31</v>
      </c>
      <c r="C33">
        <v>56.37</v>
      </c>
      <c r="E33" s="10">
        <f t="shared" si="11"/>
        <v>56.37</v>
      </c>
      <c r="G33">
        <v>7.27</v>
      </c>
      <c r="I33" s="10">
        <f t="shared" si="13"/>
        <v>7.27</v>
      </c>
      <c r="K33">
        <v>2.44</v>
      </c>
      <c r="M33" s="10">
        <f t="shared" si="15"/>
        <v>2.44</v>
      </c>
      <c r="O33" s="10">
        <f t="shared" si="17"/>
        <v>33.92</v>
      </c>
      <c r="Q33" s="14">
        <f t="shared" si="18"/>
        <v>0.12896930991662231</v>
      </c>
      <c r="R33" s="7">
        <f t="shared" si="21"/>
        <v>4.3285435515345042E-2</v>
      </c>
      <c r="S33" s="15">
        <f t="shared" si="22"/>
        <v>0.60173851339364914</v>
      </c>
      <c r="T33">
        <f>100-(R33/R2*100)</f>
        <v>9.9389559582831453</v>
      </c>
    </row>
    <row r="34" spans="1:20" x14ac:dyDescent="0.2">
      <c r="A34" t="s">
        <v>145</v>
      </c>
      <c r="B34">
        <v>32</v>
      </c>
      <c r="C34">
        <v>56.52</v>
      </c>
      <c r="E34" s="10">
        <f t="shared" si="11"/>
        <v>56.52</v>
      </c>
      <c r="G34">
        <v>7.39</v>
      </c>
      <c r="I34" s="10">
        <f t="shared" si="13"/>
        <v>7.39</v>
      </c>
      <c r="K34">
        <v>2.4900000000000002</v>
      </c>
      <c r="M34" s="10">
        <f t="shared" si="15"/>
        <v>2.4900000000000002</v>
      </c>
      <c r="O34" s="10">
        <f t="shared" si="17"/>
        <v>33.599999999999994</v>
      </c>
      <c r="Q34" s="14">
        <f t="shared" si="18"/>
        <v>0.13075017692852087</v>
      </c>
      <c r="R34" s="7">
        <f t="shared" si="21"/>
        <v>4.4055201698513805E-2</v>
      </c>
      <c r="S34" s="15">
        <f t="shared" si="22"/>
        <v>0.59447983014861983</v>
      </c>
      <c r="T34">
        <f>100-(R34/R2*100)</f>
        <v>8.3373561291764275</v>
      </c>
    </row>
    <row r="35" spans="1:20" x14ac:dyDescent="0.2">
      <c r="A35" t="s">
        <v>146</v>
      </c>
      <c r="B35">
        <v>33</v>
      </c>
      <c r="C35">
        <v>56.75</v>
      </c>
      <c r="E35" s="10">
        <f t="shared" si="11"/>
        <v>56.75</v>
      </c>
      <c r="G35">
        <v>7.35</v>
      </c>
      <c r="I35" s="10">
        <f t="shared" si="13"/>
        <v>7.35</v>
      </c>
      <c r="K35">
        <v>2.4900000000000002</v>
      </c>
      <c r="M35" s="10">
        <f t="shared" si="15"/>
        <v>2.4900000000000002</v>
      </c>
      <c r="O35" s="10">
        <f t="shared" si="17"/>
        <v>33.409999999999997</v>
      </c>
      <c r="Q35" s="14">
        <f t="shared" si="18"/>
        <v>0.12951541850220263</v>
      </c>
      <c r="R35" s="7">
        <f t="shared" si="21"/>
        <v>4.3876651982378861E-2</v>
      </c>
      <c r="S35" s="15">
        <f t="shared" si="22"/>
        <v>0.58872246696035235</v>
      </c>
      <c r="T35">
        <f>100-(R35/R2*100)</f>
        <v>8.7088523069788835</v>
      </c>
    </row>
    <row r="36" spans="1:20" x14ac:dyDescent="0.2">
      <c r="A36" t="s">
        <v>147</v>
      </c>
      <c r="B36">
        <v>34</v>
      </c>
      <c r="C36">
        <v>56.3</v>
      </c>
      <c r="E36" s="10">
        <f t="shared" si="11"/>
        <v>56.3</v>
      </c>
      <c r="G36">
        <v>7.29</v>
      </c>
      <c r="I36" s="10">
        <f t="shared" si="13"/>
        <v>7.29</v>
      </c>
      <c r="K36">
        <v>2.46</v>
      </c>
      <c r="M36" s="10">
        <f t="shared" si="15"/>
        <v>2.46</v>
      </c>
      <c r="O36" s="10">
        <f t="shared" si="17"/>
        <v>33.950000000000003</v>
      </c>
      <c r="Q36" s="14">
        <f t="shared" si="18"/>
        <v>0.12948490230905862</v>
      </c>
      <c r="R36" s="7">
        <f t="shared" si="21"/>
        <v>4.3694493783303728E-2</v>
      </c>
      <c r="S36" s="15">
        <f t="shared" si="22"/>
        <v>0.60301953818827714</v>
      </c>
      <c r="T36">
        <f>100-(R36/R2*100)</f>
        <v>9.0878564083387943</v>
      </c>
    </row>
    <row r="37" spans="1:20" x14ac:dyDescent="0.2">
      <c r="A37" t="s">
        <v>148</v>
      </c>
      <c r="B37">
        <v>35</v>
      </c>
      <c r="C37">
        <v>56.76</v>
      </c>
      <c r="E37" s="10">
        <f t="shared" si="11"/>
        <v>56.76</v>
      </c>
      <c r="G37">
        <v>7.28</v>
      </c>
      <c r="I37" s="10">
        <f t="shared" si="13"/>
        <v>7.28</v>
      </c>
      <c r="K37">
        <v>2.5499999999999998</v>
      </c>
      <c r="M37" s="10">
        <f t="shared" si="15"/>
        <v>2.5499999999999998</v>
      </c>
      <c r="O37" s="10">
        <f t="shared" si="17"/>
        <v>33.410000000000004</v>
      </c>
      <c r="Q37" s="14">
        <f t="shared" si="18"/>
        <v>0.12825933756166316</v>
      </c>
      <c r="R37" s="7">
        <f t="shared" si="21"/>
        <v>4.4926004228329805E-2</v>
      </c>
      <c r="S37" s="15">
        <f t="shared" si="22"/>
        <v>0.58861874559548988</v>
      </c>
      <c r="T37">
        <f>100-(R37/R2*100)</f>
        <v>6.525536886614006</v>
      </c>
    </row>
    <row r="38" spans="1:20" x14ac:dyDescent="0.2">
      <c r="A38" t="s">
        <v>149</v>
      </c>
      <c r="B38">
        <v>36</v>
      </c>
      <c r="C38">
        <v>56.64</v>
      </c>
      <c r="E38" s="10">
        <f t="shared" si="11"/>
        <v>56.64</v>
      </c>
      <c r="G38">
        <v>7.38</v>
      </c>
      <c r="I38" s="10">
        <f t="shared" si="13"/>
        <v>7.38</v>
      </c>
      <c r="K38">
        <v>2.34</v>
      </c>
      <c r="M38" s="10">
        <f t="shared" si="15"/>
        <v>2.34</v>
      </c>
      <c r="O38" s="10">
        <f t="shared" si="17"/>
        <v>33.64</v>
      </c>
      <c r="Q38" s="14">
        <f t="shared" si="18"/>
        <v>0.13029661016949151</v>
      </c>
      <c r="R38" s="7">
        <f t="shared" si="21"/>
        <v>4.1313559322033892E-2</v>
      </c>
      <c r="S38" s="15">
        <f t="shared" si="22"/>
        <v>0.59392655367231639</v>
      </c>
      <c r="T38">
        <f>100-(R38/R2*100)</f>
        <v>14.041703835860858</v>
      </c>
    </row>
    <row r="39" spans="1:20" x14ac:dyDescent="0.2">
      <c r="A39" t="s">
        <v>150</v>
      </c>
      <c r="B39">
        <v>37</v>
      </c>
      <c r="C39">
        <v>56.46</v>
      </c>
      <c r="E39" s="10">
        <f t="shared" si="11"/>
        <v>56.46</v>
      </c>
      <c r="G39">
        <v>7.32</v>
      </c>
      <c r="I39" s="10">
        <f t="shared" si="13"/>
        <v>7.32</v>
      </c>
      <c r="K39">
        <v>2.5099999999999998</v>
      </c>
      <c r="M39" s="10">
        <f t="shared" si="15"/>
        <v>2.5099999999999998</v>
      </c>
      <c r="O39" s="10">
        <f t="shared" si="17"/>
        <v>33.71</v>
      </c>
      <c r="Q39" s="14">
        <f t="shared" si="18"/>
        <v>0.12964930924548354</v>
      </c>
      <c r="R39" s="7">
        <f t="shared" si="21"/>
        <v>4.4456252213956778E-2</v>
      </c>
      <c r="S39" s="15">
        <f t="shared" si="22"/>
        <v>0.59705986539142752</v>
      </c>
      <c r="T39">
        <f>100-(R39/R2*100)</f>
        <v>7.5029177619926628</v>
      </c>
    </row>
    <row r="40" spans="1:20" x14ac:dyDescent="0.2">
      <c r="A40" t="s">
        <v>151</v>
      </c>
      <c r="B40">
        <v>38</v>
      </c>
      <c r="C40">
        <v>56.32</v>
      </c>
      <c r="E40" s="10">
        <f t="shared" si="11"/>
        <v>56.32</v>
      </c>
      <c r="G40">
        <v>7.17</v>
      </c>
      <c r="I40" s="10">
        <f t="shared" si="13"/>
        <v>7.17</v>
      </c>
      <c r="K40">
        <v>2.59</v>
      </c>
      <c r="M40" s="10">
        <f t="shared" si="15"/>
        <v>2.59</v>
      </c>
      <c r="O40" s="10">
        <f t="shared" si="17"/>
        <v>33.92</v>
      </c>
      <c r="Q40" s="14">
        <f t="shared" si="18"/>
        <v>0.12730823863636365</v>
      </c>
      <c r="R40" s="7">
        <f t="shared" si="21"/>
        <v>4.5987215909090905E-2</v>
      </c>
      <c r="S40" s="15">
        <f t="shared" si="22"/>
        <v>0.60227272727272729</v>
      </c>
      <c r="T40">
        <f>100-(R40/R2*100)</f>
        <v>4.3175463516746504</v>
      </c>
    </row>
    <row r="41" spans="1:20" x14ac:dyDescent="0.2">
      <c r="A41" t="s">
        <v>152</v>
      </c>
      <c r="B41">
        <v>39</v>
      </c>
      <c r="C41">
        <v>56.42</v>
      </c>
      <c r="E41" s="10">
        <f t="shared" si="11"/>
        <v>56.42</v>
      </c>
      <c r="G41">
        <v>7.18</v>
      </c>
      <c r="I41" s="10">
        <f t="shared" si="13"/>
        <v>7.18</v>
      </c>
      <c r="K41">
        <v>2.58</v>
      </c>
      <c r="M41" s="10">
        <f t="shared" si="15"/>
        <v>2.58</v>
      </c>
      <c r="O41" s="10">
        <f t="shared" si="17"/>
        <v>33.82</v>
      </c>
      <c r="Q41" s="14">
        <f t="shared" si="18"/>
        <v>0.12725983693725629</v>
      </c>
      <c r="R41" s="7">
        <f t="shared" si="21"/>
        <v>4.572846508330379E-2</v>
      </c>
      <c r="S41" s="15">
        <f t="shared" si="22"/>
        <v>0.59943282523927688</v>
      </c>
      <c r="T41">
        <f>100-(R41/R2*100)</f>
        <v>4.8559114908860295</v>
      </c>
    </row>
    <row r="42" spans="1:20" x14ac:dyDescent="0.2">
      <c r="A42" t="s">
        <v>153</v>
      </c>
      <c r="B42">
        <v>40</v>
      </c>
      <c r="C42">
        <v>56.68</v>
      </c>
      <c r="E42" s="10">
        <f t="shared" si="11"/>
        <v>56.68</v>
      </c>
      <c r="G42">
        <v>7.28</v>
      </c>
      <c r="I42" s="10">
        <f t="shared" si="13"/>
        <v>7.28</v>
      </c>
      <c r="K42">
        <v>2.54</v>
      </c>
      <c r="M42" s="10">
        <f t="shared" si="15"/>
        <v>2.54</v>
      </c>
      <c r="O42" s="10">
        <f t="shared" si="17"/>
        <v>33.5</v>
      </c>
      <c r="Q42" s="14">
        <f t="shared" si="18"/>
        <v>0.12844036697247707</v>
      </c>
      <c r="R42" s="7">
        <f t="shared" si="21"/>
        <v>4.481298517995766E-2</v>
      </c>
      <c r="S42" s="15">
        <f t="shared" si="22"/>
        <v>0.59103740296400842</v>
      </c>
      <c r="T42">
        <f>100-(R42/R2*100)</f>
        <v>6.7606878876796657</v>
      </c>
    </row>
    <row r="43" spans="1:20" x14ac:dyDescent="0.2">
      <c r="A43" t="s">
        <v>154</v>
      </c>
      <c r="B43">
        <v>41</v>
      </c>
      <c r="C43">
        <v>56.24</v>
      </c>
      <c r="E43" s="10">
        <f t="shared" si="11"/>
        <v>56.24</v>
      </c>
      <c r="G43">
        <v>7.25</v>
      </c>
      <c r="I43" s="10">
        <f t="shared" si="13"/>
        <v>7.25</v>
      </c>
      <c r="K43">
        <v>2.4500000000000002</v>
      </c>
      <c r="M43" s="10">
        <f t="shared" si="15"/>
        <v>2.4500000000000002</v>
      </c>
      <c r="O43" s="10">
        <f t="shared" si="17"/>
        <v>34.059999999999995</v>
      </c>
      <c r="Q43" s="14">
        <f t="shared" si="18"/>
        <v>0.12891180654338549</v>
      </c>
      <c r="R43" s="7">
        <f t="shared" si="21"/>
        <v>4.3563300142247512E-2</v>
      </c>
      <c r="S43" s="15">
        <f t="shared" si="22"/>
        <v>0.60561877667140818</v>
      </c>
      <c r="T43">
        <f>100-(R43/R2*100)</f>
        <v>9.3608220408774372</v>
      </c>
    </row>
    <row r="44" spans="1:20" x14ac:dyDescent="0.2">
      <c r="A44" t="s">
        <v>155</v>
      </c>
      <c r="B44">
        <v>42</v>
      </c>
      <c r="C44">
        <v>56.07</v>
      </c>
      <c r="E44" s="10">
        <f t="shared" si="11"/>
        <v>56.07</v>
      </c>
      <c r="G44">
        <v>7.25</v>
      </c>
      <c r="I44" s="10">
        <f t="shared" si="13"/>
        <v>7.25</v>
      </c>
      <c r="K44">
        <v>2.52</v>
      </c>
      <c r="M44" s="10">
        <f t="shared" si="15"/>
        <v>2.52</v>
      </c>
      <c r="O44" s="10">
        <f t="shared" si="17"/>
        <v>34.159999999999997</v>
      </c>
      <c r="Q44" s="14">
        <f t="shared" si="18"/>
        <v>0.12930265739254504</v>
      </c>
      <c r="R44" s="7">
        <f t="shared" si="21"/>
        <v>4.49438202247191E-2</v>
      </c>
      <c r="S44" s="15">
        <f t="shared" si="22"/>
        <v>0.60923845193508108</v>
      </c>
      <c r="T44">
        <f>100-(R44/R2*100)</f>
        <v>6.4884683619160199</v>
      </c>
    </row>
    <row r="45" spans="1:20" x14ac:dyDescent="0.2">
      <c r="A45" t="s">
        <v>156</v>
      </c>
      <c r="B45">
        <v>43</v>
      </c>
      <c r="C45">
        <v>56.74</v>
      </c>
      <c r="E45" s="10">
        <f t="shared" si="11"/>
        <v>56.74</v>
      </c>
      <c r="G45">
        <v>7.4</v>
      </c>
      <c r="I45" s="10">
        <f t="shared" si="13"/>
        <v>7.4</v>
      </c>
      <c r="K45">
        <v>2.46</v>
      </c>
      <c r="M45" s="10">
        <f t="shared" si="15"/>
        <v>2.46</v>
      </c>
      <c r="O45" s="10">
        <f t="shared" si="17"/>
        <v>33.4</v>
      </c>
      <c r="Q45" s="14">
        <f t="shared" si="18"/>
        <v>0.13041945717307016</v>
      </c>
      <c r="R45" s="7">
        <f t="shared" si="21"/>
        <v>4.3355657384561153E-2</v>
      </c>
      <c r="S45" s="15">
        <f t="shared" si="22"/>
        <v>0.58864998237574895</v>
      </c>
      <c r="T45">
        <f>100-(R45/R2*100)</f>
        <v>9.7928501196593913</v>
      </c>
    </row>
    <row r="46" spans="1:20" x14ac:dyDescent="0.2">
      <c r="A46" t="s">
        <v>157</v>
      </c>
      <c r="B46">
        <v>44</v>
      </c>
      <c r="C46">
        <v>56.34</v>
      </c>
      <c r="E46" s="10">
        <f t="shared" si="11"/>
        <v>56.34</v>
      </c>
      <c r="G46">
        <v>7.24</v>
      </c>
      <c r="I46" s="10">
        <f t="shared" si="13"/>
        <v>7.24</v>
      </c>
      <c r="K46">
        <v>2.5299999999999998</v>
      </c>
      <c r="M46" s="10">
        <f t="shared" si="15"/>
        <v>2.5299999999999998</v>
      </c>
      <c r="O46" s="10">
        <f t="shared" si="17"/>
        <v>33.889999999999993</v>
      </c>
      <c r="Q46" s="14">
        <f t="shared" si="18"/>
        <v>0.12850550230741922</v>
      </c>
      <c r="R46" s="7">
        <f t="shared" si="21"/>
        <v>4.4905928292509757E-2</v>
      </c>
      <c r="S46" s="15">
        <f t="shared" si="22"/>
        <v>0.60152644657436971</v>
      </c>
      <c r="T46">
        <f>100-(R46/R2*100)</f>
        <v>6.5673075126581182</v>
      </c>
    </row>
    <row r="47" spans="1:20" x14ac:dyDescent="0.2">
      <c r="A47" t="s">
        <v>158</v>
      </c>
      <c r="B47">
        <v>45</v>
      </c>
      <c r="C47">
        <v>56.41</v>
      </c>
      <c r="E47" s="10">
        <f t="shared" si="11"/>
        <v>56.41</v>
      </c>
      <c r="G47">
        <v>7.22</v>
      </c>
      <c r="I47" s="10">
        <f t="shared" si="13"/>
        <v>7.22</v>
      </c>
      <c r="K47">
        <v>2.6</v>
      </c>
      <c r="M47" s="10">
        <f t="shared" si="15"/>
        <v>2.6</v>
      </c>
      <c r="O47" s="10">
        <f t="shared" si="17"/>
        <v>33.770000000000003</v>
      </c>
      <c r="Q47" s="14">
        <f t="shared" si="18"/>
        <v>0.12799149087041306</v>
      </c>
      <c r="R47" s="7">
        <f t="shared" si="21"/>
        <v>4.6091118595993623E-2</v>
      </c>
      <c r="S47" s="15">
        <f t="shared" si="22"/>
        <v>0.59865272114873258</v>
      </c>
      <c r="T47">
        <f>100-(R47/R2*100)</f>
        <v>4.1013631401673649</v>
      </c>
    </row>
    <row r="48" spans="1:20" x14ac:dyDescent="0.2">
      <c r="A48" t="s">
        <v>159</v>
      </c>
      <c r="B48">
        <v>46</v>
      </c>
      <c r="C48">
        <v>56.53</v>
      </c>
      <c r="E48" s="10">
        <f t="shared" si="11"/>
        <v>56.53</v>
      </c>
      <c r="G48">
        <v>7.29</v>
      </c>
      <c r="I48" s="10">
        <f t="shared" si="13"/>
        <v>7.29</v>
      </c>
      <c r="K48">
        <v>2.5299999999999998</v>
      </c>
      <c r="M48" s="10">
        <f t="shared" si="15"/>
        <v>2.5299999999999998</v>
      </c>
      <c r="O48" s="10">
        <f t="shared" si="17"/>
        <v>33.65</v>
      </c>
      <c r="Q48" s="14">
        <f t="shared" si="18"/>
        <v>0.12895807535821688</v>
      </c>
      <c r="R48" s="7">
        <f t="shared" si="21"/>
        <v>4.4754997346541654E-2</v>
      </c>
      <c r="S48" s="15">
        <f t="shared" si="22"/>
        <v>0.59525915443127542</v>
      </c>
      <c r="T48">
        <f>100-(R48/R2*100)</f>
        <v>6.8813392050797546</v>
      </c>
    </row>
    <row r="49" spans="1:20" x14ac:dyDescent="0.2">
      <c r="A49" t="s">
        <v>160</v>
      </c>
      <c r="B49">
        <v>49</v>
      </c>
      <c r="C49">
        <v>56.11</v>
      </c>
      <c r="E49" s="10">
        <f t="shared" si="11"/>
        <v>56.11</v>
      </c>
      <c r="G49">
        <v>7.35</v>
      </c>
      <c r="I49" s="10">
        <f t="shared" si="13"/>
        <v>7.35</v>
      </c>
      <c r="K49">
        <v>2.37</v>
      </c>
      <c r="M49" s="10">
        <f t="shared" si="15"/>
        <v>2.37</v>
      </c>
      <c r="O49" s="10">
        <f t="shared" si="17"/>
        <v>34.17</v>
      </c>
      <c r="Q49" s="14">
        <f t="shared" si="18"/>
        <v>0.13099269292461235</v>
      </c>
      <c r="R49" s="7">
        <f t="shared" si="21"/>
        <v>4.2238460167528073E-2</v>
      </c>
      <c r="S49" s="15">
        <f>O49/E49</f>
        <v>0.60898235608625917</v>
      </c>
      <c r="T49">
        <f>100-(R49/R2*100)</f>
        <v>12.117325929330534</v>
      </c>
    </row>
    <row r="50" spans="1:20" x14ac:dyDescent="0.2">
      <c r="A50" t="s">
        <v>161</v>
      </c>
      <c r="B50">
        <v>50</v>
      </c>
      <c r="C50">
        <v>56.16</v>
      </c>
      <c r="E50" s="10">
        <f t="shared" si="11"/>
        <v>56.16</v>
      </c>
      <c r="G50">
        <v>7.35</v>
      </c>
      <c r="I50" s="10">
        <f t="shared" si="13"/>
        <v>7.35</v>
      </c>
      <c r="K50">
        <v>2.37</v>
      </c>
      <c r="M50" s="10">
        <f t="shared" si="15"/>
        <v>2.37</v>
      </c>
      <c r="O50" s="10">
        <f t="shared" si="17"/>
        <v>34.120000000000005</v>
      </c>
      <c r="Q50" s="14">
        <f t="shared" si="18"/>
        <v>0.13087606837606838</v>
      </c>
      <c r="R50" s="7">
        <f t="shared" si="21"/>
        <v>4.2200854700854704E-2</v>
      </c>
      <c r="S50" s="15">
        <f t="shared" si="22"/>
        <v>0.60754985754985769</v>
      </c>
      <c r="T50">
        <f>100-(R50/R2*100)</f>
        <v>12.195569050832205</v>
      </c>
    </row>
    <row r="51" spans="1:20" x14ac:dyDescent="0.2">
      <c r="A51" t="s">
        <v>162</v>
      </c>
      <c r="B51">
        <v>51</v>
      </c>
      <c r="C51">
        <v>55.93</v>
      </c>
      <c r="E51" s="10">
        <f t="shared" si="11"/>
        <v>55.93</v>
      </c>
      <c r="G51">
        <v>7.75</v>
      </c>
      <c r="I51" s="10">
        <f t="shared" si="13"/>
        <v>7.75</v>
      </c>
      <c r="K51">
        <v>2.4300000000000002</v>
      </c>
      <c r="M51" s="10">
        <f t="shared" si="15"/>
        <v>2.4300000000000002</v>
      </c>
      <c r="O51" s="10">
        <f t="shared" si="17"/>
        <v>33.89</v>
      </c>
      <c r="Q51" s="14">
        <f t="shared" si="18"/>
        <v>0.13856606472376184</v>
      </c>
      <c r="R51" s="7">
        <f t="shared" si="21"/>
        <v>4.3447166100482749E-2</v>
      </c>
      <c r="S51" s="15">
        <f t="shared" si="22"/>
        <v>0.60593599141784371</v>
      </c>
      <c r="T51">
        <f>100-(R51/R2*100)</f>
        <v>9.6024541955639933</v>
      </c>
    </row>
    <row r="52" spans="1:20" x14ac:dyDescent="0.2">
      <c r="A52" t="s">
        <v>163</v>
      </c>
      <c r="B52">
        <v>52</v>
      </c>
      <c r="C52">
        <v>56</v>
      </c>
      <c r="E52" s="10">
        <f t="shared" si="11"/>
        <v>56</v>
      </c>
      <c r="G52">
        <v>7.57</v>
      </c>
      <c r="I52" s="10">
        <f t="shared" si="13"/>
        <v>7.57</v>
      </c>
      <c r="K52">
        <v>2.37</v>
      </c>
      <c r="M52" s="10">
        <f t="shared" si="15"/>
        <v>2.37</v>
      </c>
      <c r="O52" s="10">
        <f t="shared" si="17"/>
        <v>34.06</v>
      </c>
      <c r="Q52" s="14">
        <f t="shared" si="18"/>
        <v>0.13517857142857143</v>
      </c>
      <c r="R52" s="7">
        <f t="shared" si="21"/>
        <v>4.2321428571428572E-2</v>
      </c>
      <c r="S52" s="15">
        <f t="shared" si="22"/>
        <v>0.60821428571428571</v>
      </c>
      <c r="T52">
        <f>100-(R52/R2*100)</f>
        <v>11.944699248120287</v>
      </c>
    </row>
    <row r="53" spans="1:20" x14ac:dyDescent="0.2">
      <c r="A53" t="s">
        <v>164</v>
      </c>
      <c r="B53">
        <v>53</v>
      </c>
      <c r="C53">
        <v>56.07</v>
      </c>
      <c r="E53" s="10">
        <f t="shared" si="11"/>
        <v>56.07</v>
      </c>
      <c r="G53">
        <v>7.76</v>
      </c>
      <c r="I53" s="10">
        <f t="shared" si="13"/>
        <v>7.76</v>
      </c>
      <c r="K53">
        <v>2.37</v>
      </c>
      <c r="M53" s="10">
        <f t="shared" si="15"/>
        <v>2.37</v>
      </c>
      <c r="O53" s="10">
        <f t="shared" si="17"/>
        <v>33.800000000000004</v>
      </c>
      <c r="Q53" s="14">
        <f t="shared" si="18"/>
        <v>0.13839843053326198</v>
      </c>
      <c r="R53" s="7">
        <f t="shared" si="21"/>
        <v>4.2268592830390583E-2</v>
      </c>
      <c r="S53" s="15">
        <f t="shared" si="22"/>
        <v>0.6028179061886928</v>
      </c>
      <c r="T53">
        <f>100-(R53/R2*100)</f>
        <v>12.054630959421019</v>
      </c>
    </row>
    <row r="54" spans="1:20" x14ac:dyDescent="0.2">
      <c r="A54" t="s">
        <v>165</v>
      </c>
      <c r="B54">
        <v>54</v>
      </c>
      <c r="C54">
        <v>54.15</v>
      </c>
      <c r="E54" s="10">
        <f t="shared" si="11"/>
        <v>54.15</v>
      </c>
      <c r="G54">
        <v>7.32</v>
      </c>
      <c r="I54" s="10">
        <f t="shared" si="13"/>
        <v>7.32</v>
      </c>
      <c r="K54">
        <v>2.29</v>
      </c>
      <c r="M54" s="10">
        <f t="shared" si="15"/>
        <v>2.29</v>
      </c>
      <c r="O54" s="10">
        <f t="shared" si="17"/>
        <v>36.24</v>
      </c>
      <c r="Q54" s="14">
        <f t="shared" si="18"/>
        <v>0.13518005540166206</v>
      </c>
      <c r="R54" s="7">
        <f t="shared" si="21"/>
        <v>4.228993536472761E-2</v>
      </c>
      <c r="S54" s="15">
        <f>O54/E54</f>
        <v>0.66925207756232696</v>
      </c>
      <c r="T54">
        <f>100-(R54/R2*100)</f>
        <v>12.010225008504634</v>
      </c>
    </row>
    <row r="55" spans="1:20" x14ac:dyDescent="0.2">
      <c r="A55" t="s">
        <v>166</v>
      </c>
      <c r="B55">
        <v>55</v>
      </c>
      <c r="C55">
        <v>56.28</v>
      </c>
      <c r="E55" s="10">
        <f t="shared" si="11"/>
        <v>56.28</v>
      </c>
      <c r="G55">
        <v>7.72</v>
      </c>
      <c r="I55" s="10">
        <f t="shared" si="13"/>
        <v>7.72</v>
      </c>
      <c r="K55">
        <v>2.3199999999999998</v>
      </c>
      <c r="M55" s="10">
        <f t="shared" si="15"/>
        <v>2.3199999999999998</v>
      </c>
      <c r="O55" s="10">
        <f t="shared" si="17"/>
        <v>33.68</v>
      </c>
      <c r="Q55" s="14">
        <f t="shared" si="18"/>
        <v>0.13717128642501777</v>
      </c>
      <c r="R55" s="7">
        <f t="shared" si="21"/>
        <v>4.122245913290689E-2</v>
      </c>
      <c r="S55" s="15">
        <f t="shared" si="22"/>
        <v>0.59843638948116562</v>
      </c>
      <c r="T55">
        <f>100-(R55/R2*100)</f>
        <v>14.23124976620656</v>
      </c>
    </row>
    <row r="56" spans="1:20" x14ac:dyDescent="0.2">
      <c r="A56" t="s">
        <v>167</v>
      </c>
      <c r="B56">
        <v>56</v>
      </c>
      <c r="C56">
        <v>56.56</v>
      </c>
      <c r="E56" s="10">
        <f t="shared" si="11"/>
        <v>56.56</v>
      </c>
      <c r="G56">
        <v>7.67</v>
      </c>
      <c r="I56" s="10">
        <f t="shared" si="13"/>
        <v>7.67</v>
      </c>
      <c r="K56">
        <v>2.48</v>
      </c>
      <c r="M56" s="10">
        <f t="shared" si="15"/>
        <v>2.48</v>
      </c>
      <c r="O56" s="10">
        <f t="shared" si="17"/>
        <v>33.29</v>
      </c>
      <c r="Q56" s="14">
        <f t="shared" si="18"/>
        <v>0.13560820367751061</v>
      </c>
      <c r="R56" s="7">
        <f t="shared" si="21"/>
        <v>4.3847241867043849E-2</v>
      </c>
      <c r="S56" s="15">
        <f t="shared" si="22"/>
        <v>0.58857850070721351</v>
      </c>
      <c r="T56">
        <f>100-(R56/R2*100)</f>
        <v>8.7700439216853994</v>
      </c>
    </row>
    <row r="57" spans="1:20" x14ac:dyDescent="0.2">
      <c r="A57" t="s">
        <v>168</v>
      </c>
      <c r="B57">
        <v>57</v>
      </c>
      <c r="C57">
        <v>55.54</v>
      </c>
      <c r="E57" s="10">
        <f t="shared" si="11"/>
        <v>55.54</v>
      </c>
      <c r="G57">
        <v>7.44</v>
      </c>
      <c r="I57" s="10">
        <f t="shared" si="13"/>
        <v>7.44</v>
      </c>
      <c r="K57">
        <v>2.38</v>
      </c>
      <c r="M57" s="10">
        <f t="shared" si="15"/>
        <v>2.38</v>
      </c>
      <c r="O57" s="10">
        <f t="shared" si="17"/>
        <v>34.64</v>
      </c>
      <c r="Q57" s="14">
        <f t="shared" si="18"/>
        <v>0.13395750810226864</v>
      </c>
      <c r="R57" s="7">
        <f t="shared" si="21"/>
        <v>4.2851998559596684E-2</v>
      </c>
      <c r="S57" s="15">
        <f t="shared" si="22"/>
        <v>0.62369463449765938</v>
      </c>
      <c r="T57">
        <f>100-(R57/R2*100)</f>
        <v>10.840778575895996</v>
      </c>
    </row>
    <row r="58" spans="1:20" x14ac:dyDescent="0.2">
      <c r="A58" t="s">
        <v>169</v>
      </c>
      <c r="B58">
        <v>58</v>
      </c>
      <c r="C58">
        <v>55.95</v>
      </c>
      <c r="E58" s="10">
        <f t="shared" si="11"/>
        <v>55.95</v>
      </c>
      <c r="G58">
        <v>7.57</v>
      </c>
      <c r="I58" s="10">
        <f t="shared" si="13"/>
        <v>7.57</v>
      </c>
      <c r="K58">
        <v>2.4300000000000002</v>
      </c>
      <c r="M58" s="10">
        <f t="shared" si="15"/>
        <v>2.4300000000000002</v>
      </c>
      <c r="O58" s="10">
        <f t="shared" si="17"/>
        <v>34.049999999999997</v>
      </c>
      <c r="Q58" s="14">
        <f t="shared" si="18"/>
        <v>0.13529937444146559</v>
      </c>
      <c r="R58" s="7">
        <f t="shared" si="21"/>
        <v>4.3431635388739946E-2</v>
      </c>
      <c r="S58" s="15">
        <f t="shared" si="22"/>
        <v>0.60857908847184983</v>
      </c>
      <c r="T58">
        <f>100-(R58/R3*100)</f>
        <v>-3.4868994555807831E-2</v>
      </c>
    </row>
    <row r="59" spans="1:20" x14ac:dyDescent="0.2">
      <c r="A59" t="s">
        <v>170</v>
      </c>
      <c r="B59">
        <v>59</v>
      </c>
      <c r="C59">
        <v>56.71</v>
      </c>
      <c r="E59" s="10">
        <f t="shared" si="11"/>
        <v>56.71</v>
      </c>
      <c r="G59">
        <v>7.16</v>
      </c>
      <c r="I59" s="10">
        <f t="shared" si="13"/>
        <v>7.16</v>
      </c>
      <c r="K59">
        <v>2.5099999999999998</v>
      </c>
      <c r="M59" s="10">
        <f t="shared" si="15"/>
        <v>2.5099999999999998</v>
      </c>
      <c r="O59" s="10">
        <f t="shared" si="17"/>
        <v>33.619999999999997</v>
      </c>
      <c r="Q59" s="14">
        <f t="shared" si="18"/>
        <v>0.12625639217069301</v>
      </c>
      <c r="R59" s="7">
        <f t="shared" si="21"/>
        <v>4.4260271557044609E-2</v>
      </c>
      <c r="S59" s="15">
        <f t="shared" si="22"/>
        <v>0.59284076882384051</v>
      </c>
      <c r="T59">
        <f>100-(R59/R2*100)</f>
        <v>7.91068130562698</v>
      </c>
    </row>
    <row r="60" spans="1:20" x14ac:dyDescent="0.2">
      <c r="A60" t="s">
        <v>171</v>
      </c>
      <c r="B60">
        <v>60</v>
      </c>
      <c r="C60">
        <v>56.61</v>
      </c>
      <c r="E60" s="10">
        <f t="shared" si="11"/>
        <v>56.61</v>
      </c>
      <c r="G60">
        <v>7.73</v>
      </c>
      <c r="I60" s="10">
        <f t="shared" si="13"/>
        <v>7.73</v>
      </c>
      <c r="K60">
        <v>2.2799999999999998</v>
      </c>
      <c r="M60" s="10">
        <f t="shared" si="15"/>
        <v>2.2799999999999998</v>
      </c>
      <c r="O60" s="10">
        <f t="shared" si="17"/>
        <v>33.379999999999995</v>
      </c>
      <c r="Q60" s="14">
        <f t="shared" si="18"/>
        <v>0.13654831301890127</v>
      </c>
      <c r="R60" s="7">
        <f t="shared" si="21"/>
        <v>4.0275569687334388E-2</v>
      </c>
      <c r="S60" s="15">
        <f t="shared" si="22"/>
        <v>0.58964847200141313</v>
      </c>
      <c r="T60">
        <f>100-(R60/2*100)</f>
        <v>97.986221515633275</v>
      </c>
    </row>
    <row r="61" spans="1:20" x14ac:dyDescent="0.2">
      <c r="A61" t="s">
        <v>172</v>
      </c>
      <c r="B61">
        <v>61</v>
      </c>
      <c r="C61">
        <v>56.03</v>
      </c>
      <c r="E61" s="10">
        <f t="shared" si="11"/>
        <v>56.03</v>
      </c>
      <c r="G61">
        <v>7.41</v>
      </c>
      <c r="I61" s="10">
        <f t="shared" si="13"/>
        <v>7.41</v>
      </c>
      <c r="K61">
        <v>2.61</v>
      </c>
      <c r="M61" s="10">
        <f t="shared" si="15"/>
        <v>2.61</v>
      </c>
      <c r="O61" s="10">
        <f t="shared" si="17"/>
        <v>33.950000000000003</v>
      </c>
      <c r="Q61" s="14">
        <f t="shared" si="18"/>
        <v>0.13225058004640372</v>
      </c>
      <c r="R61" s="7">
        <f t="shared" si="21"/>
        <v>4.6582188113510614E-2</v>
      </c>
      <c r="S61" s="15">
        <f t="shared" si="22"/>
        <v>0.60592539710869187</v>
      </c>
      <c r="T61">
        <f>100-(R61/R2*100)</f>
        <v>3.0796283945630734</v>
      </c>
    </row>
    <row r="62" spans="1:20" x14ac:dyDescent="0.2">
      <c r="A62" t="s">
        <v>173</v>
      </c>
      <c r="B62">
        <v>62</v>
      </c>
      <c r="C62">
        <v>56.12</v>
      </c>
      <c r="E62" s="10">
        <f t="shared" si="11"/>
        <v>56.12</v>
      </c>
      <c r="G62">
        <v>7.42</v>
      </c>
      <c r="I62" s="10">
        <f t="shared" si="13"/>
        <v>7.42</v>
      </c>
      <c r="K62">
        <v>2.62</v>
      </c>
      <c r="M62" s="10">
        <f t="shared" si="15"/>
        <v>2.62</v>
      </c>
      <c r="O62" s="10">
        <f t="shared" si="17"/>
        <v>33.840000000000003</v>
      </c>
      <c r="Q62" s="14">
        <f t="shared" si="18"/>
        <v>0.13221667854597291</v>
      </c>
      <c r="R62" s="7">
        <f t="shared" si="21"/>
        <v>4.6685673556664295E-2</v>
      </c>
      <c r="S62" s="15">
        <f t="shared" si="22"/>
        <v>0.60299358517462587</v>
      </c>
      <c r="T62">
        <f>100-(R62/R2*100)</f>
        <v>2.8643133135761616</v>
      </c>
    </row>
    <row r="63" spans="1:20" x14ac:dyDescent="0.2">
      <c r="A63" t="s">
        <v>174</v>
      </c>
      <c r="B63">
        <v>63</v>
      </c>
      <c r="C63">
        <v>56.84</v>
      </c>
      <c r="E63" s="10">
        <f t="shared" si="11"/>
        <v>56.84</v>
      </c>
      <c r="G63">
        <v>7.44</v>
      </c>
      <c r="I63" s="10">
        <f t="shared" si="13"/>
        <v>7.44</v>
      </c>
      <c r="K63">
        <v>2.59</v>
      </c>
      <c r="M63" s="10">
        <f t="shared" si="15"/>
        <v>2.59</v>
      </c>
      <c r="O63" s="10">
        <f t="shared" si="17"/>
        <v>33.129999999999995</v>
      </c>
      <c r="Q63" s="14">
        <f t="shared" si="18"/>
        <v>0.13089373680506686</v>
      </c>
      <c r="R63" s="7">
        <f t="shared" si="21"/>
        <v>4.556650246305418E-2</v>
      </c>
      <c r="S63" s="15">
        <f t="shared" si="22"/>
        <v>0.58286418015482044</v>
      </c>
      <c r="T63">
        <f>100-(R63/R2*100)</f>
        <v>5.1928960331864289</v>
      </c>
    </row>
    <row r="64" spans="1:20" x14ac:dyDescent="0.2">
      <c r="A64" t="s">
        <v>175</v>
      </c>
      <c r="B64">
        <v>64</v>
      </c>
      <c r="C64">
        <v>55.92</v>
      </c>
      <c r="E64" s="10">
        <f t="shared" si="11"/>
        <v>55.92</v>
      </c>
      <c r="G64">
        <v>7.38</v>
      </c>
      <c r="I64" s="10">
        <f t="shared" si="13"/>
        <v>7.38</v>
      </c>
      <c r="K64">
        <v>2.56</v>
      </c>
      <c r="M64" s="10">
        <f t="shared" si="15"/>
        <v>2.56</v>
      </c>
      <c r="O64" s="10">
        <f t="shared" si="17"/>
        <v>34.139999999999993</v>
      </c>
      <c r="Q64" s="14">
        <f t="shared" si="18"/>
        <v>0.13197424892703863</v>
      </c>
      <c r="R64" s="7">
        <f t="shared" si="21"/>
        <v>4.5779685264663805E-2</v>
      </c>
      <c r="S64" s="15">
        <f t="shared" si="22"/>
        <v>0.61051502145922731</v>
      </c>
      <c r="T64">
        <f>100-(R64/R2*100)</f>
        <v>4.7493411640689658</v>
      </c>
    </row>
    <row r="65" spans="1:20" x14ac:dyDescent="0.2">
      <c r="A65" t="s">
        <v>176</v>
      </c>
      <c r="B65">
        <v>65</v>
      </c>
      <c r="C65">
        <v>55.58</v>
      </c>
      <c r="E65" s="10">
        <f t="shared" si="11"/>
        <v>55.58</v>
      </c>
      <c r="G65">
        <v>7.24</v>
      </c>
      <c r="I65" s="10">
        <f t="shared" si="13"/>
        <v>7.24</v>
      </c>
      <c r="K65">
        <v>2.61</v>
      </c>
      <c r="M65" s="10">
        <f t="shared" si="15"/>
        <v>2.61</v>
      </c>
      <c r="O65" s="10">
        <f t="shared" si="17"/>
        <v>34.57</v>
      </c>
      <c r="Q65" s="14">
        <f t="shared" si="18"/>
        <v>0.13026268441885572</v>
      </c>
      <c r="R65" s="7">
        <f t="shared" si="21"/>
        <v>4.6959337891327814E-2</v>
      </c>
      <c r="S65" s="15">
        <f t="shared" si="22"/>
        <v>0.62198632601655279</v>
      </c>
      <c r="T65">
        <f>100-(R65/R2*100)</f>
        <v>2.2949186568436204</v>
      </c>
    </row>
    <row r="66" spans="1:20" x14ac:dyDescent="0.2">
      <c r="A66" t="s">
        <v>177</v>
      </c>
      <c r="B66">
        <v>66</v>
      </c>
      <c r="C66">
        <v>55.74</v>
      </c>
      <c r="E66" s="10">
        <f t="shared" si="11"/>
        <v>55.74</v>
      </c>
      <c r="G66">
        <v>7.48</v>
      </c>
      <c r="I66" s="10">
        <f t="shared" si="13"/>
        <v>7.48</v>
      </c>
      <c r="K66">
        <v>2.54</v>
      </c>
      <c r="M66" s="10">
        <f t="shared" si="15"/>
        <v>2.54</v>
      </c>
      <c r="O66" s="10">
        <f t="shared" si="17"/>
        <v>34.24</v>
      </c>
      <c r="Q66" s="14">
        <f t="shared" si="18"/>
        <v>0.13419447434517404</v>
      </c>
      <c r="R66" s="7">
        <f t="shared" si="21"/>
        <v>4.5568711876569787E-2</v>
      </c>
      <c r="S66" s="15">
        <f t="shared" si="22"/>
        <v>0.61428058844635813</v>
      </c>
      <c r="T66">
        <f>100-(R66/R2*100)</f>
        <v>5.188299057654902</v>
      </c>
    </row>
    <row r="67" spans="1:20" x14ac:dyDescent="0.2">
      <c r="A67" t="s">
        <v>178</v>
      </c>
      <c r="B67">
        <v>67</v>
      </c>
      <c r="C67">
        <v>56.07</v>
      </c>
      <c r="E67" s="10">
        <f t="shared" si="11"/>
        <v>56.07</v>
      </c>
      <c r="G67">
        <v>7.39</v>
      </c>
      <c r="I67" s="10">
        <f t="shared" si="13"/>
        <v>7.39</v>
      </c>
      <c r="K67">
        <v>2.6</v>
      </c>
      <c r="M67" s="10">
        <f t="shared" si="15"/>
        <v>2.6</v>
      </c>
      <c r="O67" s="10">
        <f t="shared" si="17"/>
        <v>33.94</v>
      </c>
      <c r="Q67" s="14">
        <f t="shared" si="18"/>
        <v>0.1317995362939183</v>
      </c>
      <c r="R67" s="7">
        <f t="shared" si="21"/>
        <v>4.6370608168360979E-2</v>
      </c>
      <c r="S67" s="15">
        <f t="shared" si="22"/>
        <v>0.60531478509006598</v>
      </c>
      <c r="T67">
        <f>100-(R67/R2*100)</f>
        <v>3.5198483099133568</v>
      </c>
    </row>
    <row r="68" spans="1:20" x14ac:dyDescent="0.2">
      <c r="A68" t="s">
        <v>179</v>
      </c>
      <c r="B68">
        <v>68</v>
      </c>
      <c r="C68">
        <v>55.92</v>
      </c>
      <c r="E68" s="10">
        <f t="shared" si="11"/>
        <v>55.92</v>
      </c>
      <c r="G68">
        <v>7.28</v>
      </c>
      <c r="I68" s="10">
        <f t="shared" si="13"/>
        <v>7.28</v>
      </c>
      <c r="K68">
        <v>2.5499999999999998</v>
      </c>
      <c r="M68" s="10">
        <f t="shared" si="15"/>
        <v>2.5499999999999998</v>
      </c>
      <c r="O68" s="10">
        <f t="shared" si="17"/>
        <v>34.25</v>
      </c>
      <c r="Q68" s="14">
        <f t="shared" si="18"/>
        <v>0.1301859799713877</v>
      </c>
      <c r="R68" s="7">
        <f t="shared" si="21"/>
        <v>4.5600858369098711E-2</v>
      </c>
      <c r="S68" s="15">
        <f t="shared" si="22"/>
        <v>0.61248211731044344</v>
      </c>
      <c r="T68">
        <f>100-(R68/R2*100)</f>
        <v>5.121414050146825</v>
      </c>
    </row>
    <row r="69" spans="1:20" x14ac:dyDescent="0.2">
      <c r="A69" t="s">
        <v>180</v>
      </c>
      <c r="B69">
        <v>69</v>
      </c>
      <c r="C69">
        <v>56.16</v>
      </c>
      <c r="E69" s="10">
        <f t="shared" si="11"/>
        <v>56.16</v>
      </c>
      <c r="G69">
        <v>7.2</v>
      </c>
      <c r="I69" s="10">
        <f t="shared" si="13"/>
        <v>7.2</v>
      </c>
      <c r="K69">
        <v>2.44</v>
      </c>
      <c r="M69" s="10">
        <f t="shared" si="15"/>
        <v>2.44</v>
      </c>
      <c r="O69" s="10">
        <f t="shared" si="17"/>
        <v>34.200000000000003</v>
      </c>
      <c r="Q69" s="14">
        <f t="shared" si="18"/>
        <v>0.12820512820512822</v>
      </c>
      <c r="R69" s="7">
        <f t="shared" si="21"/>
        <v>4.344729344729345E-2</v>
      </c>
      <c r="S69" s="15">
        <f t="shared" si="22"/>
        <v>0.60897435897435903</v>
      </c>
      <c r="T69">
        <f>100-(R69/R2*100)</f>
        <v>9.602189233768172</v>
      </c>
    </row>
    <row r="70" spans="1:20" x14ac:dyDescent="0.2">
      <c r="A70" t="s">
        <v>181</v>
      </c>
      <c r="B70">
        <v>70</v>
      </c>
      <c r="C70">
        <v>55.55</v>
      </c>
      <c r="E70" s="10">
        <f t="shared" si="11"/>
        <v>55.55</v>
      </c>
      <c r="G70">
        <v>6.9</v>
      </c>
      <c r="I70" s="10">
        <f t="shared" si="13"/>
        <v>6.9</v>
      </c>
      <c r="K70">
        <v>2.36</v>
      </c>
      <c r="M70" s="10">
        <f t="shared" si="15"/>
        <v>2.36</v>
      </c>
      <c r="O70" s="10">
        <f t="shared" si="17"/>
        <v>35.190000000000005</v>
      </c>
      <c r="Q70" s="14">
        <f t="shared" si="18"/>
        <v>0.12421242124212423</v>
      </c>
      <c r="R70" s="7">
        <f t="shared" si="21"/>
        <v>4.2484248424842483E-2</v>
      </c>
      <c r="S70" s="15">
        <f t="shared" si="22"/>
        <v>0.63348334833483355</v>
      </c>
      <c r="T70">
        <f>100-(R70/R2*100)</f>
        <v>11.605931119427737</v>
      </c>
    </row>
    <row r="71" spans="1:20" x14ac:dyDescent="0.2">
      <c r="A71" t="s">
        <v>182</v>
      </c>
      <c r="B71">
        <v>71</v>
      </c>
      <c r="C71">
        <v>46.08</v>
      </c>
      <c r="E71" s="10">
        <f>AVERAGE(C71:D71)</f>
        <v>46.08</v>
      </c>
      <c r="G71">
        <v>7.32</v>
      </c>
      <c r="I71" s="10">
        <f t="shared" si="13"/>
        <v>7.32</v>
      </c>
      <c r="K71">
        <v>1.72</v>
      </c>
      <c r="M71" s="10">
        <f t="shared" si="15"/>
        <v>1.72</v>
      </c>
      <c r="O71" s="10">
        <f t="shared" si="17"/>
        <v>44.88</v>
      </c>
      <c r="Q71" s="14">
        <f t="shared" si="18"/>
        <v>0.15885416666666669</v>
      </c>
      <c r="R71" s="7">
        <f t="shared" si="21"/>
        <v>3.7326388888888888E-2</v>
      </c>
      <c r="S71" s="15">
        <f t="shared" si="22"/>
        <v>0.97395833333333337</v>
      </c>
      <c r="T71">
        <f>100-(R71/R2*100)</f>
        <v>22.337536549707607</v>
      </c>
    </row>
    <row r="72" spans="1:20" x14ac:dyDescent="0.2">
      <c r="A72" t="s">
        <v>183</v>
      </c>
      <c r="B72">
        <v>72</v>
      </c>
      <c r="C72">
        <v>56.46</v>
      </c>
      <c r="E72" s="10">
        <f t="shared" si="11"/>
        <v>56.46</v>
      </c>
      <c r="G72">
        <v>7.93</v>
      </c>
      <c r="I72" s="10">
        <f t="shared" si="13"/>
        <v>7.93</v>
      </c>
      <c r="K72">
        <v>2.16</v>
      </c>
      <c r="M72" s="10">
        <f t="shared" si="15"/>
        <v>2.16</v>
      </c>
      <c r="O72" s="10">
        <f t="shared" si="17"/>
        <v>33.450000000000003</v>
      </c>
      <c r="Q72" s="14">
        <f t="shared" si="18"/>
        <v>0.14045341834927383</v>
      </c>
      <c r="R72" s="7">
        <f t="shared" si="21"/>
        <v>3.8257173219978749E-2</v>
      </c>
      <c r="S72" s="15">
        <f t="shared" si="22"/>
        <v>0.59245483528161536</v>
      </c>
      <c r="T72">
        <f>100-(R72/R2*100)</f>
        <v>20.400917277252631</v>
      </c>
    </row>
    <row r="73" spans="1:20" x14ac:dyDescent="0.2">
      <c r="A73" t="s">
        <v>184</v>
      </c>
      <c r="B73">
        <v>73</v>
      </c>
      <c r="C73">
        <v>56.4</v>
      </c>
      <c r="E73" s="10">
        <f t="shared" si="11"/>
        <v>56.4</v>
      </c>
      <c r="G73">
        <v>7.84</v>
      </c>
      <c r="I73" s="10">
        <f t="shared" si="13"/>
        <v>7.84</v>
      </c>
      <c r="K73">
        <v>2.25</v>
      </c>
      <c r="M73" s="10">
        <f t="shared" si="15"/>
        <v>2.25</v>
      </c>
      <c r="O73" s="10">
        <f t="shared" si="17"/>
        <v>33.510000000000005</v>
      </c>
      <c r="Q73" s="14">
        <f t="shared" si="18"/>
        <v>0.13900709219858157</v>
      </c>
      <c r="R73" s="7">
        <f t="shared" si="21"/>
        <v>3.9893617021276598E-2</v>
      </c>
      <c r="S73" s="15">
        <f t="shared" si="22"/>
        <v>0.59414893617021292</v>
      </c>
      <c r="T73">
        <f>100-(R73/R2*100)</f>
        <v>16.996080627099658</v>
      </c>
    </row>
    <row r="74" spans="1:20" x14ac:dyDescent="0.2">
      <c r="A74" t="s">
        <v>185</v>
      </c>
      <c r="B74">
        <v>74</v>
      </c>
      <c r="C74">
        <v>56.67</v>
      </c>
      <c r="E74" s="10">
        <f t="shared" si="11"/>
        <v>56.67</v>
      </c>
      <c r="G74">
        <v>7.46</v>
      </c>
      <c r="I74" s="10">
        <f t="shared" si="13"/>
        <v>7.46</v>
      </c>
      <c r="K74">
        <v>2.35</v>
      </c>
      <c r="M74" s="10">
        <f t="shared" si="15"/>
        <v>2.35</v>
      </c>
      <c r="O74" s="10">
        <f t="shared" si="17"/>
        <v>33.519999999999996</v>
      </c>
      <c r="Q74" s="14">
        <f t="shared" si="18"/>
        <v>0.13163931533439208</v>
      </c>
      <c r="R74" s="7">
        <f t="shared" si="21"/>
        <v>4.1468148932415738E-2</v>
      </c>
      <c r="S74" s="15">
        <f t="shared" si="22"/>
        <v>0.59149461796364911</v>
      </c>
      <c r="T74">
        <f>100-(R74/R2*100)</f>
        <v>13.7200598107232</v>
      </c>
    </row>
    <row r="75" spans="1:20" x14ac:dyDescent="0.2">
      <c r="A75" t="s">
        <v>186</v>
      </c>
      <c r="B75">
        <v>75</v>
      </c>
      <c r="C75">
        <v>56.69</v>
      </c>
      <c r="E75" s="10">
        <f t="shared" si="11"/>
        <v>56.69</v>
      </c>
      <c r="G75">
        <v>7.7</v>
      </c>
      <c r="I75" s="10">
        <f t="shared" si="13"/>
        <v>7.7</v>
      </c>
      <c r="K75">
        <v>2.38</v>
      </c>
      <c r="M75" s="10">
        <f t="shared" si="15"/>
        <v>2.38</v>
      </c>
      <c r="O75" s="10">
        <f t="shared" si="17"/>
        <v>33.229999999999997</v>
      </c>
      <c r="Q75" s="14">
        <f t="shared" si="18"/>
        <v>0.13582642441347681</v>
      </c>
      <c r="R75" s="7">
        <f t="shared" si="21"/>
        <v>4.1982713000529193E-2</v>
      </c>
      <c r="S75" s="15">
        <f t="shared" si="22"/>
        <v>0.58617040042335511</v>
      </c>
      <c r="T75">
        <f>100-(R75/R2*100)</f>
        <v>12.649441561214729</v>
      </c>
    </row>
    <row r="76" spans="1:20" ht="10.8" thickBot="1" x14ac:dyDescent="0.25">
      <c r="A76" s="17" t="s">
        <v>81</v>
      </c>
      <c r="B76" s="38"/>
      <c r="C76" s="38">
        <f t="shared" ref="C76:O76" si="23">AVERAGE(C3:C75)</f>
        <v>56.456164383561649</v>
      </c>
      <c r="D76" s="38">
        <f t="shared" si="23"/>
        <v>54.909285714285716</v>
      </c>
      <c r="E76" s="40">
        <f t="shared" si="23"/>
        <v>56.022876712328767</v>
      </c>
      <c r="F76" s="38">
        <f t="shared" si="23"/>
        <v>1.6359420459023055</v>
      </c>
      <c r="G76" s="38">
        <f t="shared" si="23"/>
        <v>7.5405479452054811</v>
      </c>
      <c r="H76" s="38">
        <f t="shared" si="23"/>
        <v>7.6246428571428577</v>
      </c>
      <c r="I76" s="40">
        <f t="shared" si="23"/>
        <v>7.5144520547945213</v>
      </c>
      <c r="J76" s="38">
        <f t="shared" si="23"/>
        <v>9.621702986859812E-2</v>
      </c>
      <c r="K76" s="38">
        <f t="shared" si="23"/>
        <v>2.4309589041095894</v>
      </c>
      <c r="L76" s="38">
        <f t="shared" si="23"/>
        <v>2.2992857142857148</v>
      </c>
      <c r="M76" s="40">
        <f t="shared" si="23"/>
        <v>2.4098630136986308</v>
      </c>
      <c r="N76" s="38">
        <f t="shared" si="23"/>
        <v>7.778174593052023E-2</v>
      </c>
      <c r="O76" s="40">
        <f t="shared" si="23"/>
        <v>34.05280821917809</v>
      </c>
      <c r="P76" s="38"/>
      <c r="Q76" s="41">
        <f>AVERAGE(Q3:Q75)</f>
        <v>0.13472745033223463</v>
      </c>
      <c r="R76" s="42">
        <f>AVERAGE(R3:R75)</f>
        <v>4.3140367757611403E-2</v>
      </c>
      <c r="S76" s="43">
        <f>AVERAGE(S3:S75)</f>
        <v>0.61423255427472445</v>
      </c>
      <c r="T76" s="39">
        <f>AVERAGE(T3:T75)</f>
        <v>11.228668061148928</v>
      </c>
    </row>
    <row r="78" spans="1:20" ht="10.8" thickBot="1" x14ac:dyDescent="0.25"/>
    <row r="79" spans="1:20" x14ac:dyDescent="0.2">
      <c r="B79" s="55" t="s">
        <v>90</v>
      </c>
      <c r="C79" s="55"/>
      <c r="D79" s="55"/>
      <c r="E79" s="55"/>
      <c r="F79" s="55"/>
      <c r="G79" s="55"/>
      <c r="H79" s="56"/>
      <c r="I79" s="60" t="s">
        <v>95</v>
      </c>
      <c r="J79" s="61"/>
      <c r="K79" s="61"/>
      <c r="L79" s="61"/>
      <c r="M79" s="62"/>
    </row>
    <row r="80" spans="1:20" x14ac:dyDescent="0.2">
      <c r="A80" s="16" t="s">
        <v>0</v>
      </c>
      <c r="B80" t="s">
        <v>92</v>
      </c>
      <c r="C80" t="s">
        <v>91</v>
      </c>
      <c r="D80" t="s">
        <v>93</v>
      </c>
      <c r="E80" t="s">
        <v>94</v>
      </c>
      <c r="F80" t="s">
        <v>9</v>
      </c>
      <c r="G80" t="s">
        <v>10</v>
      </c>
      <c r="H80" t="s">
        <v>11</v>
      </c>
      <c r="I80" s="14" t="s">
        <v>96</v>
      </c>
      <c r="J80" s="7" t="s">
        <v>97</v>
      </c>
      <c r="K80" s="7" t="s">
        <v>98</v>
      </c>
      <c r="L80" s="7" t="s">
        <v>99</v>
      </c>
      <c r="M80" s="15" t="s">
        <v>100</v>
      </c>
      <c r="N80" t="s">
        <v>134</v>
      </c>
    </row>
    <row r="81" spans="1:13" x14ac:dyDescent="0.2">
      <c r="A81" s="5" t="str">
        <f t="shared" ref="A81:A124" si="24">A5</f>
        <v>SWE_178_3</v>
      </c>
      <c r="B81">
        <f t="shared" ref="B81:B124" si="25">E5</f>
        <v>56.2</v>
      </c>
      <c r="C81">
        <f t="shared" ref="C81:C124" si="26">I5</f>
        <v>7.5749999999999993</v>
      </c>
      <c r="D81">
        <f t="shared" ref="D81:D124" si="27">M5</f>
        <v>2.4050000000000002</v>
      </c>
      <c r="E81">
        <f t="shared" ref="E81:E106" si="28">O5</f>
        <v>33.819999999999993</v>
      </c>
      <c r="F81">
        <f t="shared" ref="F81:F106" si="29">P5</f>
        <v>0</v>
      </c>
      <c r="G81">
        <f t="shared" ref="G81:G106" si="30">Q5</f>
        <v>0.13478647686832737</v>
      </c>
      <c r="H81">
        <f t="shared" ref="H81:H106" si="31">R5</f>
        <v>4.2793594306049822E-2</v>
      </c>
      <c r="I81" s="23">
        <f>Table712[[#This Row],[C (As received)]]*Table712[[#This Row],[100/(100*Moisture content as received)]]</f>
        <v>58.433321549626733</v>
      </c>
      <c r="J81" s="24">
        <f>Table712[[#This Row],[H (As received)]]*Table712[[#This Row],[100/(100*Moisture content as received)]]</f>
        <v>7.8760215433882994</v>
      </c>
      <c r="K81" s="24">
        <f>Table712[[#This Row],[N (As received)]]*Table712[[#This Row],[100/(100*Moisture content as received)]]</f>
        <v>2.5005718563496848</v>
      </c>
      <c r="L81" s="24">
        <f>100-Table712[[#This Row],[N(dry basis)]]-Table712[[#This Row],[H (dry basis)]]-Table712[[#This Row],[C (dry basis)]]</f>
        <v>31.190085050635282</v>
      </c>
      <c r="M81" s="25">
        <v>1.0397388176090165</v>
      </c>
    </row>
    <row r="82" spans="1:13" x14ac:dyDescent="0.2">
      <c r="A82" s="17" t="str">
        <f t="shared" si="24"/>
        <v>SWE_178_4</v>
      </c>
      <c r="B82">
        <f t="shared" si="25"/>
        <v>55.86</v>
      </c>
      <c r="C82">
        <f t="shared" si="26"/>
        <v>7.48</v>
      </c>
      <c r="D82">
        <f t="shared" si="27"/>
        <v>2.4500000000000002</v>
      </c>
      <c r="E82">
        <f t="shared" si="28"/>
        <v>34.209999999999994</v>
      </c>
      <c r="F82">
        <f t="shared" si="29"/>
        <v>0</v>
      </c>
      <c r="G82">
        <f t="shared" si="30"/>
        <v>0.13390619405657</v>
      </c>
      <c r="H82">
        <f t="shared" si="31"/>
        <v>4.3859649122807022E-2</v>
      </c>
      <c r="I82" s="23">
        <f>Table712[[#This Row],[C (As received)]]*Table712[[#This Row],[100/(100*Moisture content as received)]]</f>
        <v>58.079810351639665</v>
      </c>
      <c r="J82" s="24">
        <f>Table712[[#This Row],[H (As received)]]*Table712[[#This Row],[100/(100*Moisture content as received)]]</f>
        <v>7.7772463557154445</v>
      </c>
      <c r="K82" s="24">
        <f>Table712[[#This Row],[N (As received)]]*Table712[[#This Row],[100/(100*Moisture content as received)]]</f>
        <v>2.5473601031420907</v>
      </c>
      <c r="L82" s="24">
        <f>100-Table712[[#This Row],[N(dry basis)]]-Table712[[#This Row],[H (dry basis)]]-Table712[[#This Row],[C (dry basis)]]</f>
        <v>31.59558318950279</v>
      </c>
      <c r="M82" s="25">
        <v>1.0397388176090165</v>
      </c>
    </row>
    <row r="83" spans="1:13" x14ac:dyDescent="0.2">
      <c r="A83" s="18" t="str">
        <f t="shared" si="24"/>
        <v>SWE_178_5</v>
      </c>
      <c r="B83">
        <f t="shared" si="25"/>
        <v>56.54</v>
      </c>
      <c r="C83">
        <f t="shared" si="26"/>
        <v>7.6850000000000005</v>
      </c>
      <c r="D83">
        <f t="shared" si="27"/>
        <v>2.2649999999999997</v>
      </c>
      <c r="E83">
        <f t="shared" si="28"/>
        <v>33.51</v>
      </c>
      <c r="F83">
        <f t="shared" si="29"/>
        <v>0</v>
      </c>
      <c r="G83">
        <f t="shared" si="30"/>
        <v>0.13592147152458436</v>
      </c>
      <c r="H83">
        <f t="shared" si="31"/>
        <v>4.0060134418111064E-2</v>
      </c>
      <c r="I83" s="23">
        <f>Table712[[#This Row],[C (As received)]]*Table712[[#This Row],[100/(100*Moisture content as received)]]</f>
        <v>58.786832747613794</v>
      </c>
      <c r="J83" s="24">
        <f>Table712[[#This Row],[H (As received)]]*Table712[[#This Row],[100/(100*Moisture content as received)]]</f>
        <v>7.9903928133252924</v>
      </c>
      <c r="K83" s="24">
        <f>Table712[[#This Row],[N (As received)]]*Table712[[#This Row],[100/(100*Moisture content as received)]]</f>
        <v>2.3550084218844223</v>
      </c>
      <c r="L83" s="24">
        <f>100-Table712[[#This Row],[N(dry basis)]]-Table712[[#This Row],[H (dry basis)]]-Table712[[#This Row],[C (dry basis)]]</f>
        <v>30.8677660171765</v>
      </c>
      <c r="M83" s="25">
        <v>1.0397388176090165</v>
      </c>
    </row>
    <row r="84" spans="1:13" x14ac:dyDescent="0.2">
      <c r="A84" s="18" t="str">
        <f t="shared" si="24"/>
        <v>SWE_178_6</v>
      </c>
      <c r="B84">
        <f t="shared" si="25"/>
        <v>56.3</v>
      </c>
      <c r="C84">
        <f t="shared" si="26"/>
        <v>7.5649999999999995</v>
      </c>
      <c r="D84">
        <f t="shared" si="27"/>
        <v>2.3899999999999997</v>
      </c>
      <c r="E84">
        <f t="shared" si="28"/>
        <v>33.745000000000005</v>
      </c>
      <c r="F84">
        <f t="shared" si="29"/>
        <v>0</v>
      </c>
      <c r="G84">
        <f t="shared" si="30"/>
        <v>0.13436944937833037</v>
      </c>
      <c r="H84">
        <f t="shared" si="31"/>
        <v>4.2451154529307276E-2</v>
      </c>
      <c r="I84" s="23">
        <f>Table712[[#This Row],[C (As received)]]*Table712[[#This Row],[100/(100*Moisture content as received)]]</f>
        <v>58.537295431387626</v>
      </c>
      <c r="J84" s="24">
        <f>Table712[[#This Row],[H (As received)]]*Table712[[#This Row],[100/(100*Moisture content as received)]]</f>
        <v>7.8656241552122097</v>
      </c>
      <c r="K84" s="24">
        <f>Table712[[#This Row],[N (As received)]]*Table712[[#This Row],[100/(100*Moisture content as received)]]</f>
        <v>2.4849757740855494</v>
      </c>
      <c r="L84" s="24">
        <f>100-Table712[[#This Row],[N(dry basis)]]-Table712[[#This Row],[H (dry basis)]]-Table712[[#This Row],[C (dry basis)]]</f>
        <v>31.112104639314602</v>
      </c>
      <c r="M84" s="25">
        <v>1.0397388176090165</v>
      </c>
    </row>
    <row r="85" spans="1:13" x14ac:dyDescent="0.2">
      <c r="A85" s="18" t="str">
        <f t="shared" si="24"/>
        <v>SWE_178_7</v>
      </c>
      <c r="B85">
        <f t="shared" si="25"/>
        <v>55.83</v>
      </c>
      <c r="C85">
        <f t="shared" si="26"/>
        <v>7.6</v>
      </c>
      <c r="D85">
        <f t="shared" si="27"/>
        <v>2.3899999999999997</v>
      </c>
      <c r="E85">
        <f t="shared" si="28"/>
        <v>34.18</v>
      </c>
      <c r="F85">
        <f t="shared" si="29"/>
        <v>0</v>
      </c>
      <c r="G85">
        <f t="shared" si="30"/>
        <v>0.13612753000179115</v>
      </c>
      <c r="H85">
        <f t="shared" si="31"/>
        <v>4.2808525882142213E-2</v>
      </c>
      <c r="I85" s="23">
        <f>Table712[[#This Row],[C (As received)]]*Table712[[#This Row],[100/(100*Moisture content as received)]]</f>
        <v>58.048618187111394</v>
      </c>
      <c r="J85" s="24">
        <f>Table712[[#This Row],[H (As received)]]*Table712[[#This Row],[100/(100*Moisture content as received)]]</f>
        <v>7.9020150138285254</v>
      </c>
      <c r="K85" s="24">
        <f>Table712[[#This Row],[N (As received)]]*Table712[[#This Row],[100/(100*Moisture content as received)]]</f>
        <v>2.4849757740855494</v>
      </c>
      <c r="L85" s="24">
        <f>100-Table712[[#This Row],[N(dry basis)]]-Table712[[#This Row],[H (dry basis)]]-Table712[[#This Row],[C (dry basis)]]</f>
        <v>31.564391024974519</v>
      </c>
      <c r="M85" s="25">
        <v>1.0397388176090165</v>
      </c>
    </row>
    <row r="86" spans="1:13" x14ac:dyDescent="0.2">
      <c r="A86" s="17" t="str">
        <f t="shared" si="24"/>
        <v>SWE_178_8</v>
      </c>
      <c r="B86">
        <f t="shared" si="25"/>
        <v>56.155000000000001</v>
      </c>
      <c r="C86">
        <f t="shared" si="26"/>
        <v>7.7</v>
      </c>
      <c r="D86">
        <f t="shared" si="27"/>
        <v>2.2949999999999999</v>
      </c>
      <c r="E86">
        <f t="shared" si="28"/>
        <v>33.849999999999994</v>
      </c>
      <c r="F86">
        <f t="shared" si="29"/>
        <v>0</v>
      </c>
      <c r="G86">
        <f t="shared" si="30"/>
        <v>0.13712047012732614</v>
      </c>
      <c r="H86">
        <f t="shared" si="31"/>
        <v>4.0869023239248507E-2</v>
      </c>
      <c r="I86" s="23">
        <f>Table712[[#This Row],[C (As received)]]*Table712[[#This Row],[100/(100*Moisture content as received)]]</f>
        <v>58.386533302834323</v>
      </c>
      <c r="J86" s="24">
        <f>Table712[[#This Row],[H (As received)]]*Table712[[#This Row],[100/(100*Moisture content as received)]]</f>
        <v>8.0059888955894269</v>
      </c>
      <c r="K86" s="24">
        <f>Table712[[#This Row],[N (As received)]]*Table712[[#This Row],[100/(100*Moisture content as received)]]</f>
        <v>2.3862005864126927</v>
      </c>
      <c r="L86" s="24">
        <f>100-Table712[[#This Row],[N(dry basis)]]-Table712[[#This Row],[H (dry basis)]]-Table712[[#This Row],[C (dry basis)]]</f>
        <v>31.221277215163553</v>
      </c>
      <c r="M86" s="25">
        <v>1.0397388176090165</v>
      </c>
    </row>
    <row r="87" spans="1:13" x14ac:dyDescent="0.2">
      <c r="A87" s="5" t="str">
        <f t="shared" si="24"/>
        <v>SWE_178_9</v>
      </c>
      <c r="B87">
        <f t="shared" si="25"/>
        <v>56.114999999999995</v>
      </c>
      <c r="C87">
        <f t="shared" si="26"/>
        <v>7.63</v>
      </c>
      <c r="D87">
        <f t="shared" si="27"/>
        <v>2.34</v>
      </c>
      <c r="E87">
        <f t="shared" si="28"/>
        <v>33.915000000000006</v>
      </c>
      <c r="F87">
        <f t="shared" si="29"/>
        <v>0</v>
      </c>
      <c r="G87">
        <f t="shared" si="30"/>
        <v>0.1359707743027711</v>
      </c>
      <c r="H87">
        <f t="shared" si="31"/>
        <v>4.1700080192461908E-2</v>
      </c>
      <c r="I87" s="23">
        <f>Table712[[#This Row],[C (As received)]]*Table712[[#This Row],[100/(100*Moisture content as received)]]</f>
        <v>58.344943750129957</v>
      </c>
      <c r="J87" s="24">
        <f>Table712[[#This Row],[H (As received)]]*Table712[[#This Row],[100/(100*Moisture content as received)]]</f>
        <v>7.9332071783567963</v>
      </c>
      <c r="K87" s="24">
        <f>Table712[[#This Row],[N (As received)]]*Table712[[#This Row],[100/(100*Moisture content as received)]]</f>
        <v>2.4329888332050986</v>
      </c>
      <c r="L87" s="24">
        <f>100-Table712[[#This Row],[N(dry basis)]]-Table712[[#This Row],[H (dry basis)]]-Table712[[#This Row],[C (dry basis)]]</f>
        <v>31.288860238308146</v>
      </c>
      <c r="M87" s="25">
        <v>1.0397388176090165</v>
      </c>
    </row>
    <row r="88" spans="1:13" x14ac:dyDescent="0.2">
      <c r="A88" s="17" t="str">
        <f t="shared" si="24"/>
        <v>SWE_178_10</v>
      </c>
      <c r="B88">
        <f t="shared" si="25"/>
        <v>56.209999999999994</v>
      </c>
      <c r="C88">
        <f t="shared" si="26"/>
        <v>7.68</v>
      </c>
      <c r="D88">
        <f t="shared" si="27"/>
        <v>2.2850000000000001</v>
      </c>
      <c r="E88">
        <f t="shared" si="28"/>
        <v>33.825000000000003</v>
      </c>
      <c r="F88">
        <f t="shared" si="29"/>
        <v>0</v>
      </c>
      <c r="G88">
        <f t="shared" si="30"/>
        <v>0.13663049279487638</v>
      </c>
      <c r="H88">
        <f t="shared" si="31"/>
        <v>4.065112969222559E-2</v>
      </c>
      <c r="I88" s="23">
        <f>Table712[[#This Row],[C (As received)]]*Table712[[#This Row],[100/(100*Moisture content as received)]]</f>
        <v>58.443718937802814</v>
      </c>
      <c r="J88" s="24">
        <f>Table712[[#This Row],[H (As received)]]*Table712[[#This Row],[100/(100*Moisture content as received)]]</f>
        <v>7.9851941192372466</v>
      </c>
      <c r="K88" s="24">
        <f>Table712[[#This Row],[N (As received)]]*Table712[[#This Row],[100/(100*Moisture content as received)]]</f>
        <v>2.375803198236603</v>
      </c>
      <c r="L88" s="24">
        <f>100-Table712[[#This Row],[N(dry basis)]]-Table712[[#This Row],[H (dry basis)]]-Table712[[#This Row],[C (dry basis)]]</f>
        <v>31.195283744723341</v>
      </c>
      <c r="M88" s="25">
        <v>1.0397388176090165</v>
      </c>
    </row>
    <row r="89" spans="1:13" x14ac:dyDescent="0.2">
      <c r="A89" s="19" t="str">
        <f t="shared" si="24"/>
        <v>SWE_178_11</v>
      </c>
      <c r="B89">
        <f t="shared" si="25"/>
        <v>56.04</v>
      </c>
      <c r="C89">
        <f t="shared" si="26"/>
        <v>7.66</v>
      </c>
      <c r="D89">
        <f t="shared" si="27"/>
        <v>2.2999999999999998</v>
      </c>
      <c r="E89">
        <f t="shared" si="28"/>
        <v>34</v>
      </c>
      <c r="F89">
        <f t="shared" si="29"/>
        <v>0</v>
      </c>
      <c r="G89">
        <f t="shared" si="30"/>
        <v>0.13668807994289794</v>
      </c>
      <c r="H89">
        <f t="shared" si="31"/>
        <v>4.1042112776588147E-2</v>
      </c>
      <c r="I89" s="23">
        <f>Table712[[#This Row],[C (As received)]]*Table712[[#This Row],[100/(100*Moisture content as received)]]</f>
        <v>58.266963338809283</v>
      </c>
      <c r="J89" s="24">
        <f>Table712[[#This Row],[H (As received)]]*Table712[[#This Row],[100/(100*Moisture content as received)]]</f>
        <v>7.9643993428850672</v>
      </c>
      <c r="K89" s="24">
        <f>Table712[[#This Row],[N (As received)]]*Table712[[#This Row],[100/(100*Moisture content as received)]]</f>
        <v>2.391399280500738</v>
      </c>
      <c r="L89" s="24">
        <f>100-Table712[[#This Row],[N(dry basis)]]-Table712[[#This Row],[H (dry basis)]]-Table712[[#This Row],[C (dry basis)]]</f>
        <v>31.377238037804908</v>
      </c>
      <c r="M89" s="25">
        <v>1.0397388176090165</v>
      </c>
    </row>
    <row r="90" spans="1:13" x14ac:dyDescent="0.2">
      <c r="A90" s="6" t="str">
        <f t="shared" si="24"/>
        <v>SWE_178_12</v>
      </c>
      <c r="B90">
        <f t="shared" si="25"/>
        <v>56.74</v>
      </c>
      <c r="C90">
        <f t="shared" si="26"/>
        <v>7.6</v>
      </c>
      <c r="D90">
        <f t="shared" si="27"/>
        <v>2.4050000000000002</v>
      </c>
      <c r="E90">
        <f t="shared" si="28"/>
        <v>33.254999999999995</v>
      </c>
      <c r="F90">
        <f t="shared" si="29"/>
        <v>0</v>
      </c>
      <c r="G90">
        <f t="shared" si="30"/>
        <v>0.13394430736693688</v>
      </c>
      <c r="H90">
        <f t="shared" si="31"/>
        <v>4.2386323581247796E-2</v>
      </c>
      <c r="I90" s="23">
        <f>Table712[[#This Row],[C (As received)]]*Table712[[#This Row],[100/(100*Moisture content as received)]]</f>
        <v>58.994780511135602</v>
      </c>
      <c r="J90" s="24">
        <f>Table712[[#This Row],[H (As received)]]*Table712[[#This Row],[100/(100*Moisture content as received)]]</f>
        <v>7.9020150138285254</v>
      </c>
      <c r="K90" s="24">
        <f>Table712[[#This Row],[N (As received)]]*Table712[[#This Row],[100/(100*Moisture content as received)]]</f>
        <v>2.5005718563496848</v>
      </c>
      <c r="L90" s="24">
        <f>100-Table712[[#This Row],[N(dry basis)]]-Table712[[#This Row],[H (dry basis)]]-Table712[[#This Row],[C (dry basis)]]</f>
        <v>30.602632618686187</v>
      </c>
      <c r="M90" s="25">
        <v>1.0397388176090165</v>
      </c>
    </row>
    <row r="91" spans="1:13" x14ac:dyDescent="0.2">
      <c r="A91" s="19" t="str">
        <f t="shared" si="24"/>
        <v>SWE_178_13</v>
      </c>
      <c r="B91">
        <f t="shared" si="25"/>
        <v>56.91</v>
      </c>
      <c r="C91">
        <f t="shared" si="26"/>
        <v>7.625</v>
      </c>
      <c r="D91">
        <f t="shared" si="27"/>
        <v>2.4750000000000001</v>
      </c>
      <c r="E91">
        <f t="shared" si="28"/>
        <v>32.99</v>
      </c>
      <c r="F91">
        <f t="shared" si="29"/>
        <v>0</v>
      </c>
      <c r="G91">
        <f t="shared" si="30"/>
        <v>0.13398348269196977</v>
      </c>
      <c r="H91">
        <f t="shared" si="31"/>
        <v>4.3489720611491832E-2</v>
      </c>
      <c r="I91" s="23">
        <f>Table712[[#This Row],[C (As received)]]*Table712[[#This Row],[100/(100*Moisture content as received)]]</f>
        <v>59.171536110129125</v>
      </c>
      <c r="J91" s="24">
        <f>Table712[[#This Row],[H (As received)]]*Table712[[#This Row],[100/(100*Moisture content as received)]]</f>
        <v>7.9280084842687515</v>
      </c>
      <c r="K91" s="24">
        <f>Table712[[#This Row],[N (As received)]]*Table712[[#This Row],[100/(100*Moisture content as received)]]</f>
        <v>2.5733535735823159</v>
      </c>
      <c r="L91" s="24">
        <f>100-Table712[[#This Row],[N(dry basis)]]-Table712[[#This Row],[H (dry basis)]]-Table712[[#This Row],[C (dry basis)]]</f>
        <v>30.327101832019821</v>
      </c>
      <c r="M91" s="25">
        <v>1.0397388176090165</v>
      </c>
    </row>
    <row r="92" spans="1:13" x14ac:dyDescent="0.2">
      <c r="A92" s="20" t="str">
        <f t="shared" si="24"/>
        <v>SWE_178_14</v>
      </c>
      <c r="B92">
        <f t="shared" si="25"/>
        <v>56.92</v>
      </c>
      <c r="C92">
        <f t="shared" si="26"/>
        <v>7.5299999999999994</v>
      </c>
      <c r="D92">
        <f t="shared" si="27"/>
        <v>2.585</v>
      </c>
      <c r="E92">
        <f t="shared" si="28"/>
        <v>32.964999999999996</v>
      </c>
      <c r="F92">
        <f t="shared" si="29"/>
        <v>0</v>
      </c>
      <c r="G92">
        <f t="shared" si="30"/>
        <v>0.13229093464511593</v>
      </c>
      <c r="H92">
        <f t="shared" si="31"/>
        <v>4.5414617006324667E-2</v>
      </c>
      <c r="I92" s="23">
        <f>Table712[[#This Row],[C (As received)]]*Table712[[#This Row],[100/(100*Moisture content as received)]]</f>
        <v>59.18193349830522</v>
      </c>
      <c r="J92" s="24">
        <f>Table712[[#This Row],[H (As received)]]*Table712[[#This Row],[100/(100*Moisture content as received)]]</f>
        <v>7.829233296595894</v>
      </c>
      <c r="K92" s="24">
        <f>Table712[[#This Row],[N (As received)]]*Table712[[#This Row],[100/(100*Moisture content as received)]]</f>
        <v>2.6877248435193075</v>
      </c>
      <c r="L92" s="24">
        <f>100-Table712[[#This Row],[N(dry basis)]]-Table712[[#This Row],[H (dry basis)]]-Table712[[#This Row],[C (dry basis)]]</f>
        <v>30.301108361579587</v>
      </c>
      <c r="M92" s="25">
        <v>1.0397388176090165</v>
      </c>
    </row>
    <row r="93" spans="1:13" x14ac:dyDescent="0.2">
      <c r="A93" s="18" t="str">
        <f t="shared" si="24"/>
        <v>SWE_178_15</v>
      </c>
      <c r="B93">
        <f t="shared" si="25"/>
        <v>56.805</v>
      </c>
      <c r="C93">
        <f t="shared" si="26"/>
        <v>7.7350000000000003</v>
      </c>
      <c r="D93">
        <f t="shared" si="27"/>
        <v>2.21</v>
      </c>
      <c r="E93">
        <f t="shared" si="28"/>
        <v>33.25</v>
      </c>
      <c r="F93">
        <f t="shared" si="29"/>
        <v>0</v>
      </c>
      <c r="G93">
        <f t="shared" si="30"/>
        <v>0.1361675908810844</v>
      </c>
      <c r="H93">
        <f t="shared" si="31"/>
        <v>3.8905025966024118E-2</v>
      </c>
      <c r="I93" s="23">
        <f>Table712[[#This Row],[C (As received)]]*Table712[[#This Row],[100/(100*Moisture content as received)]]</f>
        <v>59.062363534280188</v>
      </c>
      <c r="J93" s="24">
        <f>Table712[[#This Row],[H (As received)]]*Table712[[#This Row],[100/(100*Moisture content as received)]]</f>
        <v>8.0423797542057436</v>
      </c>
      <c r="K93" s="24">
        <f>Table712[[#This Row],[N (As received)]]*Table712[[#This Row],[100/(100*Moisture content as received)]]</f>
        <v>2.2978227869159267</v>
      </c>
      <c r="L93" s="24">
        <f>100-Table712[[#This Row],[N(dry basis)]]-Table712[[#This Row],[H (dry basis)]]-Table712[[#This Row],[C (dry basis)]]</f>
        <v>30.597433924598143</v>
      </c>
      <c r="M93" s="25">
        <v>1.0397388176090165</v>
      </c>
    </row>
    <row r="94" spans="1:13" x14ac:dyDescent="0.2">
      <c r="A94" s="20" t="str">
        <f t="shared" si="24"/>
        <v>SWE_178_16</v>
      </c>
      <c r="B94">
        <f t="shared" si="25"/>
        <v>57.59</v>
      </c>
      <c r="C94">
        <f t="shared" si="26"/>
        <v>7.77</v>
      </c>
      <c r="D94">
        <f t="shared" si="27"/>
        <v>2.145</v>
      </c>
      <c r="E94">
        <f t="shared" si="28"/>
        <v>32.494999999999997</v>
      </c>
      <c r="F94">
        <f t="shared" si="29"/>
        <v>0</v>
      </c>
      <c r="G94">
        <f t="shared" si="30"/>
        <v>0.13491925681541933</v>
      </c>
      <c r="H94">
        <f t="shared" si="31"/>
        <v>3.724604966139955E-2</v>
      </c>
      <c r="I94" s="23">
        <f>Table712[[#This Row],[C (As received)]]*Table712[[#This Row],[100/(100*Moisture content as received)]]</f>
        <v>59.878558506103268</v>
      </c>
      <c r="J94" s="24">
        <f>Table712[[#This Row],[H (As received)]]*Table712[[#This Row],[100/(100*Moisture content as received)]]</f>
        <v>8.0787706128220584</v>
      </c>
      <c r="K94" s="24">
        <f>Table712[[#This Row],[N (As received)]]*Table712[[#This Row],[100/(100*Moisture content as received)]]</f>
        <v>2.2302397637713405</v>
      </c>
      <c r="L94" s="24">
        <f>100-Table712[[#This Row],[N(dry basis)]]-Table712[[#This Row],[H (dry basis)]]-Table712[[#This Row],[C (dry basis)]]</f>
        <v>29.81243111730334</v>
      </c>
      <c r="M94" s="25">
        <v>1.0397388176090165</v>
      </c>
    </row>
    <row r="95" spans="1:13" x14ac:dyDescent="0.2">
      <c r="A95" s="19" t="str">
        <f t="shared" si="24"/>
        <v>SWE_178_17</v>
      </c>
      <c r="B95">
        <f t="shared" si="25"/>
        <v>57.195</v>
      </c>
      <c r="C95">
        <f t="shared" si="26"/>
        <v>7.7349999999999994</v>
      </c>
      <c r="D95">
        <f t="shared" si="27"/>
        <v>2.2450000000000001</v>
      </c>
      <c r="E95">
        <f t="shared" si="28"/>
        <v>32.825000000000003</v>
      </c>
      <c r="F95">
        <f t="shared" si="29"/>
        <v>0</v>
      </c>
      <c r="G95">
        <f t="shared" si="30"/>
        <v>0.13523909432642711</v>
      </c>
      <c r="H95">
        <f t="shared" si="31"/>
        <v>3.9251682839409038E-2</v>
      </c>
      <c r="I95" s="23">
        <f>Table712[[#This Row],[C (As received)]]*Table712[[#This Row],[100/(100*Moisture content as received)]]</f>
        <v>59.467861673147702</v>
      </c>
      <c r="J95" s="24">
        <f>Table712[[#This Row],[H (As received)]]*Table712[[#This Row],[100/(100*Moisture content as received)]]</f>
        <v>8.0423797542057418</v>
      </c>
      <c r="K95" s="24">
        <f>Table712[[#This Row],[N (As received)]]*Table712[[#This Row],[100/(100*Moisture content as received)]]</f>
        <v>2.3342136455322424</v>
      </c>
      <c r="L95" s="24">
        <f>100-Table712[[#This Row],[N(dry basis)]]-Table712[[#This Row],[H (dry basis)]]-Table712[[#This Row],[C (dry basis)]]</f>
        <v>30.155544927114313</v>
      </c>
      <c r="M95" s="25">
        <v>1.0397388176090165</v>
      </c>
    </row>
    <row r="96" spans="1:13" x14ac:dyDescent="0.2">
      <c r="A96" s="17" t="str">
        <f t="shared" si="24"/>
        <v>SWE_178_18</v>
      </c>
      <c r="B96">
        <f t="shared" si="25"/>
        <v>57.234999999999999</v>
      </c>
      <c r="C96">
        <f t="shared" si="26"/>
        <v>7.7149999999999999</v>
      </c>
      <c r="D96">
        <f t="shared" si="27"/>
        <v>2.3149999999999999</v>
      </c>
      <c r="E96">
        <f t="shared" si="28"/>
        <v>32.734999999999999</v>
      </c>
      <c r="F96">
        <f t="shared" si="29"/>
        <v>0</v>
      </c>
      <c r="G96">
        <f t="shared" si="30"/>
        <v>0.13479514283218311</v>
      </c>
      <c r="H96">
        <f t="shared" si="31"/>
        <v>4.0447278762994671E-2</v>
      </c>
      <c r="I96" s="23">
        <f>Table712[[#This Row],[C (As received)]]*Table712[[#This Row],[100/(100*Moisture content as received)]]</f>
        <v>59.509451225852061</v>
      </c>
      <c r="J96" s="24">
        <f>Table712[[#This Row],[H (As received)]]*Table712[[#This Row],[100/(100*Moisture content as received)]]</f>
        <v>8.0215849778535624</v>
      </c>
      <c r="K96" s="24">
        <f>Table712[[#This Row],[N (As received)]]*Table712[[#This Row],[100/(100*Moisture content as received)]]</f>
        <v>2.406995362764873</v>
      </c>
      <c r="L96" s="24">
        <f>100-Table712[[#This Row],[N(dry basis)]]-Table712[[#This Row],[H (dry basis)]]-Table712[[#This Row],[C (dry basis)]]</f>
        <v>30.061968433529501</v>
      </c>
      <c r="M96" s="25">
        <v>1.0397388176090165</v>
      </c>
    </row>
    <row r="97" spans="1:13" x14ac:dyDescent="0.2">
      <c r="A97" s="19" t="str">
        <f t="shared" si="24"/>
        <v>SWE_178_19</v>
      </c>
      <c r="B97">
        <f t="shared" si="25"/>
        <v>57.3</v>
      </c>
      <c r="C97">
        <f t="shared" si="26"/>
        <v>7.75</v>
      </c>
      <c r="D97">
        <f t="shared" si="27"/>
        <v>2.3149999999999999</v>
      </c>
      <c r="E97">
        <f t="shared" si="28"/>
        <v>32.635000000000005</v>
      </c>
      <c r="F97">
        <f t="shared" si="29"/>
        <v>0</v>
      </c>
      <c r="G97">
        <f t="shared" si="30"/>
        <v>0.13525305410122165</v>
      </c>
      <c r="H97">
        <f t="shared" si="31"/>
        <v>4.0401396160558468E-2</v>
      </c>
      <c r="I97" s="23">
        <f>Table712[[#This Row],[C (As received)]]*Table712[[#This Row],[100/(100*Moisture content as received)]]</f>
        <v>59.577034248996647</v>
      </c>
      <c r="J97" s="24">
        <f>Table712[[#This Row],[H (As received)]]*Table712[[#This Row],[100/(100*Moisture content as received)]]</f>
        <v>8.057975836469879</v>
      </c>
      <c r="K97" s="24">
        <f>Table712[[#This Row],[N (As received)]]*Table712[[#This Row],[100/(100*Moisture content as received)]]</f>
        <v>2.406995362764873</v>
      </c>
      <c r="L97" s="24">
        <f>100-Table712[[#This Row],[N(dry basis)]]-Table712[[#This Row],[H (dry basis)]]-Table712[[#This Row],[C (dry basis)]]</f>
        <v>29.9579945517686</v>
      </c>
      <c r="M97" s="25">
        <v>1.0397388176090165</v>
      </c>
    </row>
    <row r="98" spans="1:13" x14ac:dyDescent="0.2">
      <c r="A98" s="17" t="str">
        <f t="shared" si="24"/>
        <v>SWE_178_20</v>
      </c>
      <c r="B98">
        <f t="shared" si="25"/>
        <v>58.379999999999995</v>
      </c>
      <c r="C98">
        <f t="shared" si="26"/>
        <v>8.0300000000000011</v>
      </c>
      <c r="D98">
        <f t="shared" si="27"/>
        <v>2.09</v>
      </c>
      <c r="E98">
        <f t="shared" si="28"/>
        <v>31.500000000000004</v>
      </c>
      <c r="F98">
        <f t="shared" si="29"/>
        <v>0</v>
      </c>
      <c r="G98">
        <f t="shared" si="30"/>
        <v>0.13754710517300447</v>
      </c>
      <c r="H98">
        <f t="shared" si="31"/>
        <v>3.5799931483384721E-2</v>
      </c>
      <c r="I98" s="23">
        <f>Table712[[#This Row],[C (As received)]]*Table712[[#This Row],[100/(100*Moisture content as received)]]</f>
        <v>60.699952172014378</v>
      </c>
      <c r="J98" s="24">
        <f>Table712[[#This Row],[H (As received)]]*Table712[[#This Row],[100/(100*Moisture content as received)]]</f>
        <v>8.3491027054004032</v>
      </c>
      <c r="K98" s="24">
        <f>Table712[[#This Row],[N (As received)]]*Table712[[#This Row],[100/(100*Moisture content as received)]]</f>
        <v>2.1730541288028444</v>
      </c>
      <c r="L98" s="24">
        <f>100-Table712[[#This Row],[N(dry basis)]]-Table712[[#This Row],[H (dry basis)]]-Table712[[#This Row],[C (dry basis)]]</f>
        <v>28.777890993782378</v>
      </c>
      <c r="M98" s="25">
        <v>1.0397388176090165</v>
      </c>
    </row>
    <row r="99" spans="1:13" x14ac:dyDescent="0.2">
      <c r="A99" s="18" t="str">
        <f t="shared" si="24"/>
        <v>SWE_178_21</v>
      </c>
      <c r="B99">
        <f t="shared" si="25"/>
        <v>57.8</v>
      </c>
      <c r="C99">
        <f t="shared" si="26"/>
        <v>7.8450000000000006</v>
      </c>
      <c r="D99">
        <f t="shared" si="27"/>
        <v>2.3250000000000002</v>
      </c>
      <c r="E99">
        <f t="shared" si="28"/>
        <v>32.03</v>
      </c>
      <c r="F99">
        <f t="shared" si="29"/>
        <v>0</v>
      </c>
      <c r="G99">
        <f t="shared" si="30"/>
        <v>0.13572664359861594</v>
      </c>
      <c r="H99">
        <f t="shared" si="31"/>
        <v>4.0224913494809694E-2</v>
      </c>
      <c r="I99" s="23">
        <f>Table712[[#This Row],[C (As received)]]*Table712[[#This Row],[100/(100*Moisture content as received)]]</f>
        <v>60.09690365780115</v>
      </c>
      <c r="J99" s="24">
        <f>Table712[[#This Row],[H (As received)]]*Table712[[#This Row],[100/(100*Moisture content as received)]]</f>
        <v>8.1567510241427357</v>
      </c>
      <c r="K99" s="24">
        <f>Table712[[#This Row],[N (As received)]]*Table712[[#This Row],[100/(100*Moisture content as received)]]</f>
        <v>2.4173927509409636</v>
      </c>
      <c r="L99" s="24">
        <f>100-Table712[[#This Row],[N(dry basis)]]-Table712[[#This Row],[H (dry basis)]]-Table712[[#This Row],[C (dry basis)]]</f>
        <v>29.328952567115152</v>
      </c>
      <c r="M99" s="25">
        <v>1.0397388176090165</v>
      </c>
    </row>
    <row r="100" spans="1:13" x14ac:dyDescent="0.2">
      <c r="A100" s="21" t="str">
        <f t="shared" si="24"/>
        <v>SWE_178_22</v>
      </c>
      <c r="B100">
        <f t="shared" si="25"/>
        <v>57.05</v>
      </c>
      <c r="C100">
        <f t="shared" si="26"/>
        <v>7.6199999999999992</v>
      </c>
      <c r="D100">
        <f t="shared" si="27"/>
        <v>2.4700000000000002</v>
      </c>
      <c r="E100">
        <f t="shared" si="28"/>
        <v>32.860000000000007</v>
      </c>
      <c r="F100">
        <f t="shared" si="29"/>
        <v>0</v>
      </c>
      <c r="G100">
        <f t="shared" si="30"/>
        <v>0.13356704645048204</v>
      </c>
      <c r="H100">
        <f t="shared" si="31"/>
        <v>4.3295354951796677E-2</v>
      </c>
      <c r="I100" s="23">
        <f>Table712[[#This Row],[C (As received)]]*Table712[[#This Row],[100/(100*Moisture content as received)]]</f>
        <v>59.317099544594392</v>
      </c>
      <c r="J100" s="24">
        <f>Table712[[#This Row],[H (As received)]]*Table712[[#This Row],[100/(100*Moisture content as received)]]</f>
        <v>7.9228097901807049</v>
      </c>
      <c r="K100" s="24">
        <f>Table712[[#This Row],[N (As received)]]*Table712[[#This Row],[100/(100*Moisture content as received)]]</f>
        <v>2.568154879494271</v>
      </c>
      <c r="L100" s="24">
        <f>100-Table712[[#This Row],[N(dry basis)]]-Table712[[#This Row],[H (dry basis)]]-Table712[[#This Row],[C (dry basis)]]</f>
        <v>30.191935785730628</v>
      </c>
      <c r="M100" s="25">
        <v>1.0397388176090165</v>
      </c>
    </row>
    <row r="101" spans="1:13" x14ac:dyDescent="0.2">
      <c r="A101" s="18" t="str">
        <f t="shared" si="24"/>
        <v>SWE_178_23</v>
      </c>
      <c r="B101">
        <f t="shared" si="25"/>
        <v>34.484999999999999</v>
      </c>
      <c r="C101">
        <f t="shared" si="26"/>
        <v>8.1050000000000004</v>
      </c>
      <c r="D101">
        <f t="shared" si="27"/>
        <v>2.3149999999999999</v>
      </c>
      <c r="E101">
        <f t="shared" si="28"/>
        <v>55.094999999999999</v>
      </c>
      <c r="F101">
        <f t="shared" si="29"/>
        <v>0</v>
      </c>
      <c r="G101">
        <f t="shared" si="30"/>
        <v>0.2350297230680006</v>
      </c>
      <c r="H101">
        <f t="shared" si="31"/>
        <v>6.713063650862694E-2</v>
      </c>
      <c r="I101" s="23">
        <f>Table712[[#This Row],[C (As received)]]*Table712[[#This Row],[100/(100*Moisture content as received)]]</f>
        <v>35.855393125246934</v>
      </c>
      <c r="J101" s="24">
        <f>Table712[[#This Row],[H (As received)]]*Table712[[#This Row],[100/(100*Moisture content as received)]]</f>
        <v>8.4270831167210787</v>
      </c>
      <c r="K101" s="24">
        <f>Table712[[#This Row],[N (As received)]]*Table712[[#This Row],[100/(100*Moisture content as received)]]</f>
        <v>2.406995362764873</v>
      </c>
      <c r="L101" s="24">
        <f>100-Table712[[#This Row],[N(dry basis)]]-Table712[[#This Row],[H (dry basis)]]-Table712[[#This Row],[C (dry basis)]]</f>
        <v>53.310528395267113</v>
      </c>
      <c r="M101" s="25">
        <v>1.0397388176090165</v>
      </c>
    </row>
    <row r="102" spans="1:13" x14ac:dyDescent="0.2">
      <c r="A102" s="17" t="str">
        <f t="shared" si="24"/>
        <v>SWE_178_24</v>
      </c>
      <c r="B102">
        <f t="shared" si="25"/>
        <v>57.45</v>
      </c>
      <c r="C102">
        <f t="shared" si="26"/>
        <v>7.73</v>
      </c>
      <c r="D102">
        <f t="shared" si="27"/>
        <v>2.4500000000000002</v>
      </c>
      <c r="E102">
        <f t="shared" si="28"/>
        <v>32.36999999999999</v>
      </c>
      <c r="F102">
        <f t="shared" si="29"/>
        <v>0</v>
      </c>
      <c r="G102">
        <f t="shared" si="30"/>
        <v>0.13455178416013924</v>
      </c>
      <c r="H102">
        <f t="shared" si="31"/>
        <v>4.2645778938207139E-2</v>
      </c>
      <c r="I102" s="23">
        <f>Table712[[#This Row],[C (As received)]]*Table712[[#This Row],[100/(100*Moisture content as received)]]</f>
        <v>59.732995071638001</v>
      </c>
      <c r="J102" s="24">
        <f>Table712[[#This Row],[H (As received)]]*Table712[[#This Row],[100/(100*Moisture content as received)]]</f>
        <v>8.0371810601176978</v>
      </c>
      <c r="K102" s="24">
        <f>Table712[[#This Row],[N (As received)]]*Table712[[#This Row],[100/(100*Moisture content as received)]]</f>
        <v>2.5473601031420907</v>
      </c>
      <c r="L102" s="24">
        <f>100-Table712[[#This Row],[N(dry basis)]]-Table712[[#This Row],[H (dry basis)]]-Table712[[#This Row],[C (dry basis)]]</f>
        <v>29.682463765102199</v>
      </c>
      <c r="M102" s="25">
        <v>1.0397388176090165</v>
      </c>
    </row>
    <row r="103" spans="1:13" x14ac:dyDescent="0.2">
      <c r="A103" s="22" t="str">
        <f t="shared" si="24"/>
        <v>SWE_178_25</v>
      </c>
      <c r="B103">
        <f t="shared" si="25"/>
        <v>57.085000000000001</v>
      </c>
      <c r="C103">
        <f t="shared" si="26"/>
        <v>7.7200000000000006</v>
      </c>
      <c r="D103">
        <f t="shared" si="27"/>
        <v>2.36</v>
      </c>
      <c r="E103">
        <f t="shared" si="28"/>
        <v>32.835000000000001</v>
      </c>
      <c r="F103">
        <f t="shared" si="29"/>
        <v>0</v>
      </c>
      <c r="G103">
        <f t="shared" si="30"/>
        <v>0.13523692738898135</v>
      </c>
      <c r="H103">
        <f t="shared" si="31"/>
        <v>4.1341858631864757E-2</v>
      </c>
      <c r="I103" s="23">
        <f>Table712[[#This Row],[C (As received)]]*Table712[[#This Row],[100/(100*Moisture content as received)]]</f>
        <v>59.353490403210714</v>
      </c>
      <c r="J103" s="24">
        <f>Table712[[#This Row],[H (As received)]]*Table712[[#This Row],[100/(100*Moisture content as received)]]</f>
        <v>8.0267836719416081</v>
      </c>
      <c r="K103" s="24">
        <f>Table712[[#This Row],[N (As received)]]*Table712[[#This Row],[100/(100*Moisture content as received)]]</f>
        <v>2.4537836095572789</v>
      </c>
      <c r="L103" s="24">
        <f>100-Table712[[#This Row],[N(dry basis)]]-Table712[[#This Row],[H (dry basis)]]-Table712[[#This Row],[C (dry basis)]]</f>
        <v>30.165942315290408</v>
      </c>
      <c r="M103" s="25">
        <v>1.0397388176090165</v>
      </c>
    </row>
    <row r="104" spans="1:13" x14ac:dyDescent="0.2">
      <c r="A104" s="17" t="str">
        <f t="shared" si="24"/>
        <v>SWE_178_26</v>
      </c>
      <c r="B104">
        <f t="shared" si="25"/>
        <v>57.435000000000002</v>
      </c>
      <c r="C104" s="8">
        <f t="shared" si="26"/>
        <v>7.6950000000000003</v>
      </c>
      <c r="D104" s="8">
        <f t="shared" si="27"/>
        <v>2.4450000000000003</v>
      </c>
      <c r="E104" s="8">
        <f t="shared" si="28"/>
        <v>32.424999999999997</v>
      </c>
      <c r="F104" s="8">
        <f t="shared" si="29"/>
        <v>0</v>
      </c>
      <c r="G104" s="8">
        <f t="shared" si="30"/>
        <v>0.13397753982763125</v>
      </c>
      <c r="H104" s="8">
        <f t="shared" si="31"/>
        <v>4.2569861582658658E-2</v>
      </c>
      <c r="I104" s="23">
        <f>Table712[[#This Row],[C (As received)]]*Table712[[#This Row],[100/(100*Moisture content as received)]]</f>
        <v>59.717398989373869</v>
      </c>
      <c r="J104" s="24">
        <f>Table712[[#This Row],[H (As received)]]*Table712[[#This Row],[100/(100*Moisture content as received)]]</f>
        <v>8.000790201501383</v>
      </c>
      <c r="K104" s="24">
        <f>Table712[[#This Row],[N (As received)]]*Table712[[#This Row],[100/(100*Moisture content as received)]]</f>
        <v>2.5421614090540459</v>
      </c>
      <c r="L104" s="24">
        <f>100-Table712[[#This Row],[N(dry basis)]]-Table712[[#This Row],[H (dry basis)]]-Table712[[#This Row],[C (dry basis)]]</f>
        <v>29.739649400070697</v>
      </c>
      <c r="M104" s="25">
        <v>1.0397388176090165</v>
      </c>
    </row>
    <row r="105" spans="1:13" x14ac:dyDescent="0.2">
      <c r="A105" s="5" t="str">
        <f t="shared" si="24"/>
        <v>SWE_178_27</v>
      </c>
      <c r="B105">
        <f t="shared" si="25"/>
        <v>56.754999999999995</v>
      </c>
      <c r="C105" s="8">
        <f t="shared" si="26"/>
        <v>7.63</v>
      </c>
      <c r="D105" s="8">
        <f t="shared" si="27"/>
        <v>2.4350000000000001</v>
      </c>
      <c r="E105" s="8">
        <f t="shared" si="28"/>
        <v>33.18</v>
      </c>
      <c r="F105" s="8">
        <f t="shared" si="29"/>
        <v>0</v>
      </c>
      <c r="G105" s="8">
        <f t="shared" si="30"/>
        <v>0.13443749449387721</v>
      </c>
      <c r="H105" s="8">
        <f t="shared" si="31"/>
        <v>4.2903708924323852E-2</v>
      </c>
      <c r="I105" s="23">
        <f>Table712[[#This Row],[C (As received)]]*Table712[[#This Row],[100/(100*Moisture content as received)]]</f>
        <v>59.010376593399727</v>
      </c>
      <c r="J105" s="24">
        <f>Table712[[#This Row],[H (As received)]]*Table712[[#This Row],[100/(100*Moisture content as received)]]</f>
        <v>7.9332071783567963</v>
      </c>
      <c r="K105" s="24">
        <f>Table712[[#This Row],[N (As received)]]*Table712[[#This Row],[100/(100*Moisture content as received)]]</f>
        <v>2.5317640208779553</v>
      </c>
      <c r="L105" s="24">
        <f>100-Table712[[#This Row],[N(dry basis)]]-Table712[[#This Row],[H (dry basis)]]-Table712[[#This Row],[C (dry basis)]]</f>
        <v>30.52465220736552</v>
      </c>
      <c r="M105" s="25">
        <v>1.0397388176090165</v>
      </c>
    </row>
    <row r="106" spans="1:13" ht="10.8" thickBot="1" x14ac:dyDescent="0.25">
      <c r="A106" s="5" t="str">
        <f t="shared" si="24"/>
        <v>SWE_178_28</v>
      </c>
      <c r="B106">
        <f t="shared" si="25"/>
        <v>57.56</v>
      </c>
      <c r="C106" s="8">
        <f t="shared" si="26"/>
        <v>7.73</v>
      </c>
      <c r="D106" s="8">
        <f t="shared" si="27"/>
        <v>2.3650000000000002</v>
      </c>
      <c r="E106" s="8">
        <f t="shared" si="28"/>
        <v>32.344999999999992</v>
      </c>
      <c r="F106" s="8">
        <f t="shared" si="29"/>
        <v>0</v>
      </c>
      <c r="G106" s="8">
        <f t="shared" si="30"/>
        <v>0.13429464906184851</v>
      </c>
      <c r="H106" s="8">
        <f t="shared" si="31"/>
        <v>4.1087560806115357E-2</v>
      </c>
      <c r="I106" s="26">
        <f>Table712[[#This Row],[C (As received)]]*Table712[[#This Row],[100/(100*Moisture content as received)]]</f>
        <v>59.847366341574997</v>
      </c>
      <c r="J106" s="27">
        <f>Table712[[#This Row],[H (As received)]]*Table712[[#This Row],[100/(100*Moisture content as received)]]</f>
        <v>8.0371810601176978</v>
      </c>
      <c r="K106" s="27">
        <f>Table712[[#This Row],[N (As received)]]*Table712[[#This Row],[100/(100*Moisture content as received)]]</f>
        <v>2.4589823036453242</v>
      </c>
      <c r="L106" s="27">
        <f>100-Table712[[#This Row],[N(dry basis)]]-Table712[[#This Row],[H (dry basis)]]-Table712[[#This Row],[C (dry basis)]]</f>
        <v>29.656470294661972</v>
      </c>
      <c r="M106" s="28">
        <v>1.0397388176090165</v>
      </c>
    </row>
    <row r="107" spans="1:13" x14ac:dyDescent="0.2">
      <c r="A107" s="5" t="str">
        <f t="shared" si="24"/>
        <v>SWE_178_29</v>
      </c>
      <c r="B107">
        <f t="shared" si="25"/>
        <v>56.22</v>
      </c>
      <c r="C107" s="8">
        <f t="shared" si="26"/>
        <v>7.39</v>
      </c>
      <c r="D107" s="8">
        <f t="shared" si="27"/>
        <v>2.5</v>
      </c>
      <c r="E107" s="8">
        <f t="shared" ref="E107:E124" si="32">O31</f>
        <v>33.89</v>
      </c>
      <c r="F107" s="8">
        <f t="shared" ref="F107:F124" si="33">P31</f>
        <v>0</v>
      </c>
      <c r="G107" s="8">
        <f t="shared" ref="G107:G124" si="34">Q31</f>
        <v>0.13144788331554608</v>
      </c>
      <c r="H107" s="8">
        <f t="shared" ref="H107:H115" si="35">R31</f>
        <v>4.4468160796869445E-2</v>
      </c>
      <c r="I107" s="23">
        <f>Table712[[#This Row],[C (As received)]]*Table712[[#This Row],[100/(100*Moisture content as received)]]</f>
        <v>58.454116325978909</v>
      </c>
      <c r="J107" s="8">
        <f>Table712[[#This Row],[H (As received)]]*Table712[[#This Row],[100/(100*Moisture content as received)]]</f>
        <v>7.6836698621306319</v>
      </c>
      <c r="K107" s="8">
        <f>Table712[[#This Row],[N (As received)]]*Table712[[#This Row],[100/(100*Moisture content as received)]]</f>
        <v>2.5993470440225415</v>
      </c>
      <c r="L107" s="8">
        <f>100-Table712[[#This Row],[N(dry basis)]]-Table712[[#This Row],[H (dry basis)]]-Table712[[#This Row],[C (dry basis)]]</f>
        <v>31.262866767867926</v>
      </c>
      <c r="M107" s="25">
        <v>1.0397388176090165</v>
      </c>
    </row>
    <row r="108" spans="1:13" x14ac:dyDescent="0.2">
      <c r="A108" s="5" t="str">
        <f t="shared" si="24"/>
        <v>SWE_178_30</v>
      </c>
      <c r="B108">
        <f t="shared" si="25"/>
        <v>56.51</v>
      </c>
      <c r="C108" s="8">
        <f t="shared" si="26"/>
        <v>7.43</v>
      </c>
      <c r="D108" s="8">
        <f t="shared" si="27"/>
        <v>2.48</v>
      </c>
      <c r="E108" s="8">
        <f t="shared" si="32"/>
        <v>33.580000000000005</v>
      </c>
      <c r="F108" s="8">
        <f t="shared" si="33"/>
        <v>0</v>
      </c>
      <c r="G108" s="8">
        <f t="shared" si="34"/>
        <v>0.13148115377809239</v>
      </c>
      <c r="H108" s="8">
        <f t="shared" si="35"/>
        <v>4.3886037869403649E-2</v>
      </c>
      <c r="I108" s="23">
        <f>Table712[[#This Row],[C (As received)]]*Table712[[#This Row],[100/(100*Moisture content as received)]]</f>
        <v>58.755640583085523</v>
      </c>
      <c r="J108" s="8">
        <f>Table712[[#This Row],[H (As received)]]*Table712[[#This Row],[100/(100*Moisture content as received)]]</f>
        <v>7.7252594148349925</v>
      </c>
      <c r="K108" s="8">
        <f>Table712[[#This Row],[N (As received)]]*Table712[[#This Row],[100/(100*Moisture content as received)]]</f>
        <v>2.5785522676703612</v>
      </c>
      <c r="L108" s="8">
        <f>100-Table712[[#This Row],[N(dry basis)]]-Table712[[#This Row],[H (dry basis)]]-Table712[[#This Row],[C (dry basis)]]</f>
        <v>30.940547734409122</v>
      </c>
      <c r="M108" s="25">
        <v>1.0397388176090165</v>
      </c>
    </row>
    <row r="109" spans="1:13" x14ac:dyDescent="0.2">
      <c r="A109" s="5" t="str">
        <f t="shared" si="24"/>
        <v>SWE_178_31</v>
      </c>
      <c r="B109">
        <f t="shared" si="25"/>
        <v>56.37</v>
      </c>
      <c r="C109" s="8">
        <f t="shared" si="26"/>
        <v>7.27</v>
      </c>
      <c r="D109" s="8">
        <f t="shared" si="27"/>
        <v>2.44</v>
      </c>
      <c r="E109" s="8">
        <f t="shared" si="32"/>
        <v>33.92</v>
      </c>
      <c r="F109" s="8">
        <f t="shared" si="33"/>
        <v>0</v>
      </c>
      <c r="G109" s="8">
        <f t="shared" si="34"/>
        <v>0.12896930991662231</v>
      </c>
      <c r="H109" s="8">
        <f t="shared" si="35"/>
        <v>4.3285435515345042E-2</v>
      </c>
      <c r="I109" s="23">
        <f>Table712[[#This Row],[C (As received)]]*Table712[[#This Row],[100/(100*Moisture content as received)]]</f>
        <v>58.610077148620263</v>
      </c>
      <c r="J109" s="8">
        <f>Table712[[#This Row],[H (As received)]]*Table712[[#This Row],[100/(100*Moisture content as received)]]</f>
        <v>7.5589012040175501</v>
      </c>
      <c r="K109" s="8">
        <f>Table712[[#This Row],[N (As received)]]*Table712[[#This Row],[100/(100*Moisture content as received)]]</f>
        <v>2.5369627149660001</v>
      </c>
      <c r="L109" s="8">
        <f>100-Table712[[#This Row],[N(dry basis)]]-Table712[[#This Row],[H (dry basis)]]-Table712[[#This Row],[C (dry basis)]]</f>
        <v>31.294058932396197</v>
      </c>
      <c r="M109" s="25">
        <v>1.0397388176090165</v>
      </c>
    </row>
    <row r="110" spans="1:13" x14ac:dyDescent="0.2">
      <c r="A110" s="5" t="str">
        <f t="shared" si="24"/>
        <v>SWE_178_32</v>
      </c>
      <c r="B110">
        <f t="shared" si="25"/>
        <v>56.52</v>
      </c>
      <c r="C110" s="8">
        <f t="shared" si="26"/>
        <v>7.39</v>
      </c>
      <c r="D110" s="8">
        <f t="shared" si="27"/>
        <v>2.4900000000000002</v>
      </c>
      <c r="E110" s="8">
        <f t="shared" si="32"/>
        <v>33.599999999999994</v>
      </c>
      <c r="F110" s="8">
        <f t="shared" si="33"/>
        <v>0</v>
      </c>
      <c r="G110" s="8">
        <f t="shared" si="34"/>
        <v>0.13075017692852087</v>
      </c>
      <c r="H110" s="8">
        <f t="shared" si="35"/>
        <v>4.4055201698513805E-2</v>
      </c>
      <c r="I110" s="23">
        <f>Table712[[#This Row],[C (As received)]]*Table712[[#This Row],[100/(100*Moisture content as received)]]</f>
        <v>58.766037971261618</v>
      </c>
      <c r="J110" s="8">
        <f>Table712[[#This Row],[H (As received)]]*Table712[[#This Row],[100/(100*Moisture content as received)]]</f>
        <v>7.6836698621306319</v>
      </c>
      <c r="K110" s="8">
        <f>Table712[[#This Row],[N (As received)]]*Table712[[#This Row],[100/(100*Moisture content as received)]]</f>
        <v>2.5889496558464513</v>
      </c>
      <c r="L110" s="8">
        <f>100-Table712[[#This Row],[N(dry basis)]]-Table712[[#This Row],[H (dry basis)]]-Table712[[#This Row],[C (dry basis)]]</f>
        <v>30.961342510761305</v>
      </c>
      <c r="M110" s="25">
        <v>1.0397388176090165</v>
      </c>
    </row>
    <row r="111" spans="1:13" x14ac:dyDescent="0.2">
      <c r="A111" s="5" t="str">
        <f t="shared" si="24"/>
        <v>SWE_178_33</v>
      </c>
      <c r="B111">
        <f t="shared" si="25"/>
        <v>56.75</v>
      </c>
      <c r="C111" s="8">
        <f t="shared" si="26"/>
        <v>7.35</v>
      </c>
      <c r="D111" s="8">
        <f t="shared" si="27"/>
        <v>2.4900000000000002</v>
      </c>
      <c r="E111" s="8">
        <f t="shared" si="32"/>
        <v>33.409999999999997</v>
      </c>
      <c r="F111" s="8">
        <f t="shared" si="33"/>
        <v>0</v>
      </c>
      <c r="G111" s="8">
        <f t="shared" si="34"/>
        <v>0.12951541850220263</v>
      </c>
      <c r="H111" s="8">
        <f t="shared" si="35"/>
        <v>4.3876651982378861E-2</v>
      </c>
      <c r="I111" s="23">
        <f>Table712[[#This Row],[C (As received)]]*Table712[[#This Row],[100/(100*Moisture content as received)]]</f>
        <v>59.00517789931169</v>
      </c>
      <c r="J111" s="8">
        <f>Table712[[#This Row],[H (As received)]]*Table712[[#This Row],[100/(100*Moisture content as received)]]</f>
        <v>7.6420803094262713</v>
      </c>
      <c r="K111" s="8">
        <f>Table712[[#This Row],[N (As received)]]*Table712[[#This Row],[100/(100*Moisture content as received)]]</f>
        <v>2.5889496558464513</v>
      </c>
      <c r="L111" s="8">
        <f>100-Table712[[#This Row],[N(dry basis)]]-Table712[[#This Row],[H (dry basis)]]-Table712[[#This Row],[C (dry basis)]]</f>
        <v>30.763792135415585</v>
      </c>
      <c r="M111" s="25">
        <v>1.0397388176090165</v>
      </c>
    </row>
    <row r="112" spans="1:13" x14ac:dyDescent="0.2">
      <c r="A112" s="5" t="str">
        <f t="shared" si="24"/>
        <v>SWE_178_34</v>
      </c>
      <c r="B112">
        <f t="shared" si="25"/>
        <v>56.3</v>
      </c>
      <c r="C112" s="8">
        <f t="shared" si="26"/>
        <v>7.29</v>
      </c>
      <c r="D112" s="8">
        <f t="shared" si="27"/>
        <v>2.46</v>
      </c>
      <c r="E112" s="8">
        <f t="shared" si="32"/>
        <v>33.950000000000003</v>
      </c>
      <c r="F112" s="8">
        <f t="shared" si="33"/>
        <v>0</v>
      </c>
      <c r="G112" s="8">
        <f t="shared" si="34"/>
        <v>0.12948490230905862</v>
      </c>
      <c r="H112" s="8">
        <f t="shared" si="35"/>
        <v>4.3694493783303728E-2</v>
      </c>
      <c r="I112" s="23">
        <f>Table712[[#This Row],[C (As received)]]*Table712[[#This Row],[100/(100*Moisture content as received)]]</f>
        <v>58.537295431387626</v>
      </c>
      <c r="J112" s="8">
        <f>Table712[[#This Row],[H (As received)]]*Table712[[#This Row],[100/(100*Moisture content as received)]]</f>
        <v>7.5796959803697304</v>
      </c>
      <c r="K112" s="8">
        <f>Table712[[#This Row],[N (As received)]]*Table712[[#This Row],[100/(100*Moisture content as received)]]</f>
        <v>2.5577574913181809</v>
      </c>
      <c r="L112" s="8">
        <f>100-Table712[[#This Row],[N(dry basis)]]-Table712[[#This Row],[H (dry basis)]]-Table712[[#This Row],[C (dry basis)]]</f>
        <v>31.325251096924454</v>
      </c>
      <c r="M112" s="25">
        <v>1.0397388176090165</v>
      </c>
    </row>
    <row r="113" spans="1:13" x14ac:dyDescent="0.2">
      <c r="A113" s="5" t="str">
        <f t="shared" si="24"/>
        <v>SWE_178_35</v>
      </c>
      <c r="B113">
        <f t="shared" si="25"/>
        <v>56.76</v>
      </c>
      <c r="C113" s="8">
        <f t="shared" si="26"/>
        <v>7.28</v>
      </c>
      <c r="D113" s="8">
        <f t="shared" si="27"/>
        <v>2.5499999999999998</v>
      </c>
      <c r="E113" s="8">
        <f t="shared" si="32"/>
        <v>33.410000000000004</v>
      </c>
      <c r="F113" s="8">
        <f t="shared" si="33"/>
        <v>0</v>
      </c>
      <c r="G113" s="8">
        <f t="shared" si="34"/>
        <v>0.12825933756166316</v>
      </c>
      <c r="H113" s="8">
        <f t="shared" si="35"/>
        <v>4.4926004228329805E-2</v>
      </c>
      <c r="I113" s="23">
        <f>Table712[[#This Row],[C (As received)]]*Table712[[#This Row],[100/(100*Moisture content as received)]]</f>
        <v>59.015575287487778</v>
      </c>
      <c r="J113" s="8">
        <f>Table712[[#This Row],[H (As received)]]*Table712[[#This Row],[100/(100*Moisture content as received)]]</f>
        <v>7.5692985921936407</v>
      </c>
      <c r="K113" s="8">
        <f>Table712[[#This Row],[N (As received)]]*Table712[[#This Row],[100/(100*Moisture content as received)]]</f>
        <v>2.6513339849029922</v>
      </c>
      <c r="L113" s="8">
        <f>100-Table712[[#This Row],[N(dry basis)]]-Table712[[#This Row],[H (dry basis)]]-Table712[[#This Row],[C (dry basis)]]</f>
        <v>30.763792135415585</v>
      </c>
      <c r="M113" s="25">
        <v>1.0397388176090165</v>
      </c>
    </row>
    <row r="114" spans="1:13" x14ac:dyDescent="0.2">
      <c r="A114" s="5" t="str">
        <f t="shared" si="24"/>
        <v>SWE_178_36</v>
      </c>
      <c r="B114">
        <f t="shared" si="25"/>
        <v>56.64</v>
      </c>
      <c r="C114" s="8">
        <f t="shared" si="26"/>
        <v>7.38</v>
      </c>
      <c r="D114" s="8">
        <f t="shared" si="27"/>
        <v>2.34</v>
      </c>
      <c r="E114" s="8">
        <f t="shared" si="32"/>
        <v>33.64</v>
      </c>
      <c r="F114" s="8">
        <f t="shared" si="33"/>
        <v>0</v>
      </c>
      <c r="G114" s="8">
        <f t="shared" si="34"/>
        <v>0.13029661016949151</v>
      </c>
      <c r="H114" s="8">
        <f t="shared" si="35"/>
        <v>4.1313559322033892E-2</v>
      </c>
      <c r="I114" s="23">
        <f>Table712[[#This Row],[C (As received)]]*Table712[[#This Row],[100/(100*Moisture content as received)]]</f>
        <v>58.890806629374694</v>
      </c>
      <c r="J114" s="8">
        <f>Table712[[#This Row],[H (As received)]]*Table712[[#This Row],[100/(100*Moisture content as received)]]</f>
        <v>7.6732724739545421</v>
      </c>
      <c r="K114" s="8">
        <f>Table712[[#This Row],[N (As received)]]*Table712[[#This Row],[100/(100*Moisture content as received)]]</f>
        <v>2.4329888332050986</v>
      </c>
      <c r="L114" s="8">
        <f>100-Table712[[#This Row],[N(dry basis)]]-Table712[[#This Row],[H (dry basis)]]-Table712[[#This Row],[C (dry basis)]]</f>
        <v>31.002932063465664</v>
      </c>
      <c r="M114" s="25">
        <v>1.0397388176090165</v>
      </c>
    </row>
    <row r="115" spans="1:13" x14ac:dyDescent="0.2">
      <c r="A115" s="5" t="str">
        <f t="shared" si="24"/>
        <v>SWE_178_37</v>
      </c>
      <c r="B115">
        <f t="shared" si="25"/>
        <v>56.46</v>
      </c>
      <c r="C115" s="8">
        <f t="shared" si="26"/>
        <v>7.32</v>
      </c>
      <c r="D115" s="8">
        <f t="shared" si="27"/>
        <v>2.5099999999999998</v>
      </c>
      <c r="E115" s="8">
        <f t="shared" si="32"/>
        <v>33.71</v>
      </c>
      <c r="F115" s="8">
        <f t="shared" si="33"/>
        <v>0</v>
      </c>
      <c r="G115" s="8">
        <f t="shared" si="34"/>
        <v>0.12964930924548354</v>
      </c>
      <c r="H115" s="8">
        <f t="shared" si="35"/>
        <v>4.4456252213956778E-2</v>
      </c>
      <c r="I115" s="23">
        <f>Table712[[#This Row],[C (As received)]]*Table712[[#This Row],[100/(100*Moisture content as received)]]</f>
        <v>58.703653642205076</v>
      </c>
      <c r="J115" s="8">
        <f>Table712[[#This Row],[H (As received)]]*Table712[[#This Row],[100/(100*Moisture content as received)]]</f>
        <v>7.6108881448980013</v>
      </c>
      <c r="K115" s="8">
        <f>Table712[[#This Row],[N (As received)]]*Table712[[#This Row],[100/(100*Moisture content as received)]]</f>
        <v>2.6097444321986312</v>
      </c>
      <c r="L115" s="8">
        <f>100-Table712[[#This Row],[N(dry basis)]]-Table712[[#This Row],[H (dry basis)]]-Table712[[#This Row],[C (dry basis)]]</f>
        <v>31.075713780698301</v>
      </c>
      <c r="M115" s="25">
        <v>1.0397388176090165</v>
      </c>
    </row>
    <row r="116" spans="1:13" x14ac:dyDescent="0.2">
      <c r="A116" s="5" t="str">
        <f t="shared" si="24"/>
        <v>SWE_178_38</v>
      </c>
      <c r="B116">
        <f t="shared" si="25"/>
        <v>56.32</v>
      </c>
      <c r="C116" s="8">
        <f t="shared" si="26"/>
        <v>7.17</v>
      </c>
      <c r="D116" s="8">
        <f t="shared" si="27"/>
        <v>2.59</v>
      </c>
      <c r="E116" s="8">
        <f t="shared" si="32"/>
        <v>33.92</v>
      </c>
      <c r="F116" s="8">
        <f t="shared" si="33"/>
        <v>0</v>
      </c>
      <c r="G116" s="8">
        <f t="shared" si="34"/>
        <v>0.12730823863636365</v>
      </c>
      <c r="H116" s="8">
        <f t="shared" ref="H116:H124" si="36">R40</f>
        <v>4.5987215909090905E-2</v>
      </c>
      <c r="I116" s="23">
        <f>Table712[[#This Row],[C (As received)]]*Table712[[#This Row],[100/(100*Moisture content as received)]]</f>
        <v>58.558090207739809</v>
      </c>
      <c r="J116" s="8">
        <f>Table712[[#This Row],[H (As received)]]*Table712[[#This Row],[100/(100*Moisture content as received)]]</f>
        <v>7.4549273222566486</v>
      </c>
      <c r="K116" s="8">
        <f>Table712[[#This Row],[N (As received)]]*Table712[[#This Row],[100/(100*Moisture content as received)]]</f>
        <v>2.6929235376073528</v>
      </c>
      <c r="L116" s="8">
        <f>100-Table712[[#This Row],[N(dry basis)]]-Table712[[#This Row],[H (dry basis)]]-Table712[[#This Row],[C (dry basis)]]</f>
        <v>31.294058932396183</v>
      </c>
      <c r="M116" s="25">
        <v>1.0397388176090165</v>
      </c>
    </row>
    <row r="117" spans="1:13" x14ac:dyDescent="0.2">
      <c r="A117" s="5" t="str">
        <f t="shared" si="24"/>
        <v>SWE_178_39</v>
      </c>
      <c r="B117">
        <f t="shared" si="25"/>
        <v>56.42</v>
      </c>
      <c r="C117" s="8">
        <f t="shared" si="26"/>
        <v>7.18</v>
      </c>
      <c r="D117" s="8">
        <f t="shared" si="27"/>
        <v>2.58</v>
      </c>
      <c r="E117" s="8">
        <f t="shared" si="32"/>
        <v>33.82</v>
      </c>
      <c r="F117" s="8">
        <f t="shared" si="33"/>
        <v>0</v>
      </c>
      <c r="G117" s="8">
        <f t="shared" si="34"/>
        <v>0.12725983693725629</v>
      </c>
      <c r="H117" s="8">
        <f t="shared" si="36"/>
        <v>4.572846508330379E-2</v>
      </c>
      <c r="I117" s="23">
        <f>Table712[[#This Row],[C (As received)]]*Table712[[#This Row],[100/(100*Moisture content as received)]]</f>
        <v>58.662064089500717</v>
      </c>
      <c r="J117" s="8">
        <f>Table712[[#This Row],[H (As received)]]*Table712[[#This Row],[100/(100*Moisture content as received)]]</f>
        <v>7.4653247104327383</v>
      </c>
      <c r="K117" s="8">
        <f>Table712[[#This Row],[N (As received)]]*Table712[[#This Row],[100/(100*Moisture content as received)]]</f>
        <v>2.6825261494312627</v>
      </c>
      <c r="L117" s="8">
        <f>100-Table712[[#This Row],[N(dry basis)]]-Table712[[#This Row],[H (dry basis)]]-Table712[[#This Row],[C (dry basis)]]</f>
        <v>31.190085050635275</v>
      </c>
      <c r="M117" s="25">
        <v>1.0397388176090165</v>
      </c>
    </row>
    <row r="118" spans="1:13" x14ac:dyDescent="0.2">
      <c r="A118" s="5" t="str">
        <f t="shared" si="24"/>
        <v>SWE_178_40</v>
      </c>
      <c r="B118">
        <f t="shared" si="25"/>
        <v>56.68</v>
      </c>
      <c r="C118" s="8">
        <f t="shared" si="26"/>
        <v>7.28</v>
      </c>
      <c r="D118" s="8">
        <f t="shared" si="27"/>
        <v>2.54</v>
      </c>
      <c r="E118" s="8">
        <f t="shared" si="32"/>
        <v>33.5</v>
      </c>
      <c r="F118" s="8">
        <f t="shared" si="33"/>
        <v>0</v>
      </c>
      <c r="G118" s="8">
        <f t="shared" si="34"/>
        <v>0.12844036697247707</v>
      </c>
      <c r="H118" s="8">
        <f t="shared" si="36"/>
        <v>4.481298517995766E-2</v>
      </c>
      <c r="I118" s="23">
        <f>Table712[[#This Row],[C (As received)]]*Table712[[#This Row],[100/(100*Moisture content as received)]]</f>
        <v>58.93239618207906</v>
      </c>
      <c r="J118" s="8">
        <f>Table712[[#This Row],[H (As received)]]*Table712[[#This Row],[100/(100*Moisture content as received)]]</f>
        <v>7.5692985921936407</v>
      </c>
      <c r="K118" s="8">
        <f>Table712[[#This Row],[N (As received)]]*Table712[[#This Row],[100/(100*Moisture content as received)]]</f>
        <v>2.6409365967269021</v>
      </c>
      <c r="L118" s="8">
        <f>100-Table712[[#This Row],[N(dry basis)]]-Table712[[#This Row],[H (dry basis)]]-Table712[[#This Row],[C (dry basis)]]</f>
        <v>30.857368629000391</v>
      </c>
      <c r="M118" s="25">
        <v>1.0397388176090165</v>
      </c>
    </row>
    <row r="119" spans="1:13" x14ac:dyDescent="0.2">
      <c r="A119" s="5" t="str">
        <f t="shared" si="24"/>
        <v>SWE_178_41</v>
      </c>
      <c r="B119">
        <f t="shared" si="25"/>
        <v>56.24</v>
      </c>
      <c r="C119" s="8">
        <f t="shared" si="26"/>
        <v>7.25</v>
      </c>
      <c r="D119" s="8">
        <f t="shared" si="27"/>
        <v>2.4500000000000002</v>
      </c>
      <c r="E119" s="8">
        <f t="shared" si="32"/>
        <v>34.059999999999995</v>
      </c>
      <c r="F119" s="8">
        <f t="shared" si="33"/>
        <v>0</v>
      </c>
      <c r="G119" s="8">
        <f t="shared" si="34"/>
        <v>0.12891180654338549</v>
      </c>
      <c r="H119" s="8">
        <f t="shared" si="36"/>
        <v>4.3563300142247512E-2</v>
      </c>
      <c r="I119" s="23">
        <f>Table712[[#This Row],[C (As received)]]*Table712[[#This Row],[100/(100*Moisture content as received)]]</f>
        <v>58.474911102331092</v>
      </c>
      <c r="J119" s="8">
        <f>Table712[[#This Row],[H (As received)]]*Table712[[#This Row],[100/(100*Moisture content as received)]]</f>
        <v>7.5381064276653698</v>
      </c>
      <c r="K119" s="8">
        <f>Table712[[#This Row],[N (As received)]]*Table712[[#This Row],[100/(100*Moisture content as received)]]</f>
        <v>2.5473601031420907</v>
      </c>
      <c r="L119" s="8">
        <f>100-Table712[[#This Row],[N(dry basis)]]-Table712[[#This Row],[H (dry basis)]]-Table712[[#This Row],[C (dry basis)]]</f>
        <v>31.439622366861443</v>
      </c>
      <c r="M119" s="25">
        <v>1.0397388176090165</v>
      </c>
    </row>
    <row r="120" spans="1:13" x14ac:dyDescent="0.2">
      <c r="A120" s="5" t="str">
        <f t="shared" si="24"/>
        <v>SWE_178_42</v>
      </c>
      <c r="B120">
        <f t="shared" si="25"/>
        <v>56.07</v>
      </c>
      <c r="C120" s="8">
        <f t="shared" si="26"/>
        <v>7.25</v>
      </c>
      <c r="D120" s="8">
        <f t="shared" si="27"/>
        <v>2.52</v>
      </c>
      <c r="E120" s="8">
        <f t="shared" si="32"/>
        <v>34.159999999999997</v>
      </c>
      <c r="F120" s="8">
        <f t="shared" si="33"/>
        <v>0</v>
      </c>
      <c r="G120" s="8">
        <f t="shared" si="34"/>
        <v>0.12930265739254504</v>
      </c>
      <c r="H120" s="8">
        <f t="shared" si="36"/>
        <v>4.49438202247191E-2</v>
      </c>
      <c r="I120" s="23">
        <f>Table712[[#This Row],[C (As received)]]*Table712[[#This Row],[100/(100*Moisture content as received)]]</f>
        <v>58.298155503337554</v>
      </c>
      <c r="J120" s="8">
        <f>Table712[[#This Row],[H (As received)]]*Table712[[#This Row],[100/(100*Moisture content as received)]]</f>
        <v>7.5381064276653698</v>
      </c>
      <c r="K120" s="8">
        <f>Table712[[#This Row],[N (As received)]]*Table712[[#This Row],[100/(100*Moisture content as received)]]</f>
        <v>2.6201418203747218</v>
      </c>
      <c r="L120" s="8">
        <f>100-Table712[[#This Row],[N(dry basis)]]-Table712[[#This Row],[H (dry basis)]]-Table712[[#This Row],[C (dry basis)]]</f>
        <v>31.54359624862235</v>
      </c>
      <c r="M120" s="25">
        <v>1.0397388176090165</v>
      </c>
    </row>
    <row r="121" spans="1:13" x14ac:dyDescent="0.2">
      <c r="A121" s="5" t="str">
        <f t="shared" si="24"/>
        <v>SWE_178_43</v>
      </c>
      <c r="B121">
        <f t="shared" si="25"/>
        <v>56.74</v>
      </c>
      <c r="C121" s="8">
        <f t="shared" si="26"/>
        <v>7.4</v>
      </c>
      <c r="D121" s="8">
        <f t="shared" si="27"/>
        <v>2.46</v>
      </c>
      <c r="E121" s="8">
        <f t="shared" si="32"/>
        <v>33.4</v>
      </c>
      <c r="F121" s="8">
        <f t="shared" si="33"/>
        <v>0</v>
      </c>
      <c r="G121" s="8">
        <f t="shared" si="34"/>
        <v>0.13041945717307016</v>
      </c>
      <c r="H121" s="8">
        <f t="shared" si="36"/>
        <v>4.3355657384561153E-2</v>
      </c>
      <c r="I121" s="23">
        <f>Table712[[#This Row],[C (As received)]]*Table712[[#This Row],[100/(100*Moisture content as received)]]</f>
        <v>58.994780511135602</v>
      </c>
      <c r="J121" s="8">
        <f>Table712[[#This Row],[H (As received)]]*Table712[[#This Row],[100/(100*Moisture content as received)]]</f>
        <v>7.6940672503067224</v>
      </c>
      <c r="K121" s="8">
        <f>Table712[[#This Row],[N (As received)]]*Table712[[#This Row],[100/(100*Moisture content as received)]]</f>
        <v>2.5577574913181809</v>
      </c>
      <c r="L121" s="8">
        <f>100-Table712[[#This Row],[N(dry basis)]]-Table712[[#This Row],[H (dry basis)]]-Table712[[#This Row],[C (dry basis)]]</f>
        <v>30.753394747239497</v>
      </c>
      <c r="M121" s="25">
        <v>1.0397388176090165</v>
      </c>
    </row>
    <row r="122" spans="1:13" x14ac:dyDescent="0.2">
      <c r="A122" s="5" t="str">
        <f t="shared" si="24"/>
        <v>SWE_178_44</v>
      </c>
      <c r="B122">
        <f t="shared" si="25"/>
        <v>56.34</v>
      </c>
      <c r="C122" s="8">
        <f t="shared" si="26"/>
        <v>7.24</v>
      </c>
      <c r="D122" s="8">
        <f t="shared" si="27"/>
        <v>2.5299999999999998</v>
      </c>
      <c r="E122" s="8">
        <f t="shared" si="32"/>
        <v>33.889999999999993</v>
      </c>
      <c r="F122" s="8">
        <f t="shared" si="33"/>
        <v>0</v>
      </c>
      <c r="G122" s="8">
        <f t="shared" si="34"/>
        <v>0.12850550230741922</v>
      </c>
      <c r="H122" s="8">
        <f t="shared" si="36"/>
        <v>4.4905928292509757E-2</v>
      </c>
      <c r="I122" s="23">
        <f>Table712[[#This Row],[C (As received)]]*Table712[[#This Row],[100/(100*Moisture content as received)]]</f>
        <v>58.578884984091992</v>
      </c>
      <c r="J122" s="8">
        <f>Table712[[#This Row],[H (As received)]]*Table712[[#This Row],[100/(100*Moisture content as received)]]</f>
        <v>7.5277090394892801</v>
      </c>
      <c r="K122" s="8">
        <f>Table712[[#This Row],[N (As received)]]*Table712[[#This Row],[100/(100*Moisture content as received)]]</f>
        <v>2.6305392085508115</v>
      </c>
      <c r="L122" s="8">
        <f>100-Table712[[#This Row],[N(dry basis)]]-Table712[[#This Row],[H (dry basis)]]-Table712[[#This Row],[C (dry basis)]]</f>
        <v>31.262866767867912</v>
      </c>
      <c r="M122" s="25">
        <v>1.0397388176090165</v>
      </c>
    </row>
    <row r="123" spans="1:13" x14ac:dyDescent="0.2">
      <c r="A123" s="5" t="str">
        <f t="shared" si="24"/>
        <v>SWE_178_45</v>
      </c>
      <c r="B123">
        <f t="shared" si="25"/>
        <v>56.41</v>
      </c>
      <c r="C123" s="8">
        <f t="shared" si="26"/>
        <v>7.22</v>
      </c>
      <c r="D123" s="8">
        <f t="shared" si="27"/>
        <v>2.6</v>
      </c>
      <c r="E123" s="8">
        <f t="shared" si="32"/>
        <v>33.770000000000003</v>
      </c>
      <c r="F123" s="8">
        <f t="shared" si="33"/>
        <v>0</v>
      </c>
      <c r="G123" s="8">
        <f t="shared" si="34"/>
        <v>0.12799149087041306</v>
      </c>
      <c r="H123" s="8">
        <f t="shared" si="36"/>
        <v>4.6091118595993623E-2</v>
      </c>
      <c r="I123" s="23">
        <f>Table712[[#This Row],[C (As received)]]*Table712[[#This Row],[100/(100*Moisture content as received)]]</f>
        <v>58.651666701324622</v>
      </c>
      <c r="J123" s="8">
        <f>Table712[[#This Row],[H (As received)]]*Table712[[#This Row],[100/(100*Moisture content as received)]]</f>
        <v>7.5069142631370989</v>
      </c>
      <c r="K123" s="8">
        <f>Table712[[#This Row],[N (As received)]]*Table712[[#This Row],[100/(100*Moisture content as received)]]</f>
        <v>2.703320925783443</v>
      </c>
      <c r="L123" s="8">
        <f>100-Table712[[#This Row],[N(dry basis)]]-Table712[[#This Row],[H (dry basis)]]-Table712[[#This Row],[C (dry basis)]]</f>
        <v>31.138098109754829</v>
      </c>
      <c r="M123" s="25">
        <v>1.0397388176090165</v>
      </c>
    </row>
    <row r="124" spans="1:13" x14ac:dyDescent="0.2">
      <c r="A124" s="5" t="str">
        <f t="shared" si="24"/>
        <v>SWE_178_46</v>
      </c>
      <c r="B124">
        <f t="shared" si="25"/>
        <v>56.53</v>
      </c>
      <c r="C124" s="8">
        <f t="shared" si="26"/>
        <v>7.29</v>
      </c>
      <c r="D124" s="8">
        <f t="shared" si="27"/>
        <v>2.5299999999999998</v>
      </c>
      <c r="E124" s="8">
        <f t="shared" si="32"/>
        <v>33.65</v>
      </c>
      <c r="F124" s="8">
        <f t="shared" si="33"/>
        <v>0</v>
      </c>
      <c r="G124" s="8">
        <f t="shared" si="34"/>
        <v>0.12895807535821688</v>
      </c>
      <c r="H124" s="8">
        <f t="shared" si="36"/>
        <v>4.4754997346541654E-2</v>
      </c>
      <c r="I124" s="23">
        <f>Table712[[#This Row],[C (As received)]]*Table712[[#This Row],[100/(100*Moisture content as received)]]</f>
        <v>58.776435359437706</v>
      </c>
      <c r="J124" s="8">
        <f>Table712[[#This Row],[H (As received)]]*Table712[[#This Row],[100/(100*Moisture content as received)]]</f>
        <v>7.5796959803697304</v>
      </c>
      <c r="K124" s="8">
        <f>Table712[[#This Row],[N (As received)]]*Table712[[#This Row],[100/(100*Moisture content as received)]]</f>
        <v>2.6305392085508115</v>
      </c>
      <c r="L124" s="8">
        <f>100-Table712[[#This Row],[N(dry basis)]]-Table712[[#This Row],[H (dry basis)]]-Table712[[#This Row],[C (dry basis)]]</f>
        <v>31.013329451641745</v>
      </c>
      <c r="M124" s="25">
        <v>1.0397388176090165</v>
      </c>
    </row>
    <row r="125" spans="1:13" x14ac:dyDescent="0.2">
      <c r="A125" s="5" t="str">
        <f t="shared" ref="A125:A142" si="37">A49</f>
        <v>SWE_178_49</v>
      </c>
      <c r="B125">
        <f t="shared" ref="B125:B151" si="38">E49</f>
        <v>56.11</v>
      </c>
      <c r="C125" s="8">
        <f t="shared" ref="C125:C151" si="39">I49</f>
        <v>7.35</v>
      </c>
      <c r="D125" s="8">
        <f t="shared" ref="D125:D151" si="40">M49</f>
        <v>2.37</v>
      </c>
      <c r="E125" s="8">
        <f t="shared" ref="E125:E151" si="41">O49</f>
        <v>34.17</v>
      </c>
      <c r="F125" s="8">
        <f t="shared" ref="F125:F151" si="42">P49</f>
        <v>0</v>
      </c>
      <c r="G125" s="8">
        <f t="shared" ref="G125:G151" si="43">Q49</f>
        <v>0.13099269292461235</v>
      </c>
      <c r="H125" s="8">
        <f t="shared" ref="H125:H151" si="44">R49</f>
        <v>4.2238460167528073E-2</v>
      </c>
      <c r="I125" s="23">
        <f>Table712[[#This Row],[C (As received)]]*Table712[[#This Row],[100/(100*Moisture content as received)]]</f>
        <v>58.33974505604192</v>
      </c>
      <c r="J125" s="8">
        <f>Table712[[#This Row],[H (As received)]]*Table712[[#This Row],[100/(100*Moisture content as received)]]</f>
        <v>7.6420803094262713</v>
      </c>
      <c r="K125" s="8">
        <f>Table712[[#This Row],[N (As received)]]*Table712[[#This Row],[100/(100*Moisture content as received)]]</f>
        <v>2.4641809977333695</v>
      </c>
      <c r="L125" s="8">
        <f>100-Table712[[#This Row],[N(dry basis)]]-Table712[[#This Row],[H (dry basis)]]-Table712[[#This Row],[C (dry basis)]]</f>
        <v>31.553993636798438</v>
      </c>
      <c r="M125" s="25">
        <v>1.0397388176090165</v>
      </c>
    </row>
    <row r="126" spans="1:13" x14ac:dyDescent="0.2">
      <c r="A126" s="5" t="str">
        <f t="shared" si="37"/>
        <v>SWE_178_50</v>
      </c>
      <c r="B126">
        <f t="shared" si="38"/>
        <v>56.16</v>
      </c>
      <c r="C126" s="8">
        <f t="shared" si="39"/>
        <v>7.35</v>
      </c>
      <c r="D126" s="8">
        <f t="shared" si="40"/>
        <v>2.37</v>
      </c>
      <c r="E126" s="8">
        <f t="shared" si="41"/>
        <v>34.120000000000005</v>
      </c>
      <c r="F126" s="8">
        <f t="shared" si="42"/>
        <v>0</v>
      </c>
      <c r="G126" s="8">
        <f t="shared" si="43"/>
        <v>0.13087606837606838</v>
      </c>
      <c r="H126" s="8">
        <f t="shared" si="44"/>
        <v>4.2200854700854704E-2</v>
      </c>
      <c r="I126" s="23">
        <f>Table712[[#This Row],[C (As received)]]*Table712[[#This Row],[100/(100*Moisture content as received)]]</f>
        <v>58.391731996922367</v>
      </c>
      <c r="J126" s="8">
        <f>Table712[[#This Row],[H (As received)]]*Table712[[#This Row],[100/(100*Moisture content as received)]]</f>
        <v>7.6420803094262713</v>
      </c>
      <c r="K126" s="8">
        <f>Table712[[#This Row],[N (As received)]]*Table712[[#This Row],[100/(100*Moisture content as received)]]</f>
        <v>2.4641809977333695</v>
      </c>
      <c r="L126" s="8">
        <f>100-Table712[[#This Row],[N(dry basis)]]-Table712[[#This Row],[H (dry basis)]]-Table712[[#This Row],[C (dry basis)]]</f>
        <v>31.502006695917991</v>
      </c>
      <c r="M126" s="25">
        <v>1.0397388176090165</v>
      </c>
    </row>
    <row r="127" spans="1:13" x14ac:dyDescent="0.2">
      <c r="A127" s="5" t="str">
        <f t="shared" si="37"/>
        <v>SWE_178_51</v>
      </c>
      <c r="B127">
        <f t="shared" si="38"/>
        <v>55.93</v>
      </c>
      <c r="C127" s="8">
        <f t="shared" si="39"/>
        <v>7.75</v>
      </c>
      <c r="D127" s="8">
        <f t="shared" si="40"/>
        <v>2.4300000000000002</v>
      </c>
      <c r="E127" s="8">
        <f t="shared" si="41"/>
        <v>33.89</v>
      </c>
      <c r="F127" s="8">
        <f t="shared" si="42"/>
        <v>0</v>
      </c>
      <c r="G127" s="8">
        <f t="shared" si="43"/>
        <v>0.13856606472376184</v>
      </c>
      <c r="H127" s="8">
        <f t="shared" si="44"/>
        <v>4.3447166100482749E-2</v>
      </c>
      <c r="I127" s="23">
        <f>Table712[[#This Row],[C (As received)]]*Table712[[#This Row],[100/(100*Moisture content as received)]]</f>
        <v>58.152592068872295</v>
      </c>
      <c r="J127" s="8">
        <f>Table712[[#This Row],[H (As received)]]*Table712[[#This Row],[100/(100*Moisture content as received)]]</f>
        <v>8.057975836469879</v>
      </c>
      <c r="K127" s="8">
        <f>Table712[[#This Row],[N (As received)]]*Table712[[#This Row],[100/(100*Moisture content as received)]]</f>
        <v>2.5265653267899104</v>
      </c>
      <c r="L127" s="8">
        <f>100-Table712[[#This Row],[N(dry basis)]]-Table712[[#This Row],[H (dry basis)]]-Table712[[#This Row],[C (dry basis)]]</f>
        <v>31.262866767867919</v>
      </c>
      <c r="M127" s="25">
        <v>1.0397388176090165</v>
      </c>
    </row>
    <row r="128" spans="1:13" x14ac:dyDescent="0.2">
      <c r="A128" s="5" t="str">
        <f t="shared" si="37"/>
        <v>SWE_178_52</v>
      </c>
      <c r="B128">
        <f t="shared" si="38"/>
        <v>56</v>
      </c>
      <c r="C128" s="8">
        <f t="shared" si="39"/>
        <v>7.57</v>
      </c>
      <c r="D128" s="8">
        <f t="shared" si="40"/>
        <v>2.37</v>
      </c>
      <c r="E128" s="8">
        <f t="shared" si="41"/>
        <v>34.06</v>
      </c>
      <c r="F128" s="8">
        <f t="shared" si="42"/>
        <v>0</v>
      </c>
      <c r="G128" s="8">
        <f t="shared" si="43"/>
        <v>0.13517857142857143</v>
      </c>
      <c r="H128" s="8">
        <f t="shared" si="44"/>
        <v>4.2321428571428572E-2</v>
      </c>
      <c r="I128" s="23">
        <f>Table712[[#This Row],[C (As received)]]*Table712[[#This Row],[100/(100*Moisture content as received)]]</f>
        <v>58.225373786104925</v>
      </c>
      <c r="J128" s="8">
        <f>Table712[[#This Row],[H (As received)]]*Table712[[#This Row],[100/(100*Moisture content as received)]]</f>
        <v>7.8708228493002554</v>
      </c>
      <c r="K128" s="8">
        <f>Table712[[#This Row],[N (As received)]]*Table712[[#This Row],[100/(100*Moisture content as received)]]</f>
        <v>2.4641809977333695</v>
      </c>
      <c r="L128" s="8">
        <f>100-Table712[[#This Row],[N(dry basis)]]-Table712[[#This Row],[H (dry basis)]]-Table712[[#This Row],[C (dry basis)]]</f>
        <v>31.439622366861457</v>
      </c>
      <c r="M128" s="25">
        <v>1.0397388176090165</v>
      </c>
    </row>
    <row r="129" spans="1:13" x14ac:dyDescent="0.2">
      <c r="A129" s="5" t="str">
        <f t="shared" si="37"/>
        <v>SWE_178_53</v>
      </c>
      <c r="B129">
        <f t="shared" si="38"/>
        <v>56.07</v>
      </c>
      <c r="C129" s="8">
        <f t="shared" si="39"/>
        <v>7.76</v>
      </c>
      <c r="D129" s="8">
        <f t="shared" si="40"/>
        <v>2.37</v>
      </c>
      <c r="E129" s="8">
        <f t="shared" si="41"/>
        <v>33.800000000000004</v>
      </c>
      <c r="F129" s="8">
        <f t="shared" si="42"/>
        <v>0</v>
      </c>
      <c r="G129" s="8">
        <f t="shared" si="43"/>
        <v>0.13839843053326198</v>
      </c>
      <c r="H129" s="8">
        <f t="shared" si="44"/>
        <v>4.2268592830390583E-2</v>
      </c>
      <c r="I129" s="23">
        <f>Table712[[#This Row],[C (As received)]]*Table712[[#This Row],[100/(100*Moisture content as received)]]</f>
        <v>58.298155503337554</v>
      </c>
      <c r="J129" s="8">
        <f>Table712[[#This Row],[H (As received)]]*Table712[[#This Row],[100/(100*Moisture content as received)]]</f>
        <v>8.0683732246459687</v>
      </c>
      <c r="K129" s="8">
        <f>Table712[[#This Row],[N (As received)]]*Table712[[#This Row],[100/(100*Moisture content as received)]]</f>
        <v>2.4641809977333695</v>
      </c>
      <c r="L129" s="8">
        <f>100-Table712[[#This Row],[N(dry basis)]]-Table712[[#This Row],[H (dry basis)]]-Table712[[#This Row],[C (dry basis)]]</f>
        <v>31.169290274283114</v>
      </c>
      <c r="M129" s="25">
        <v>1.0397388176090165</v>
      </c>
    </row>
    <row r="130" spans="1:13" x14ac:dyDescent="0.2">
      <c r="A130" s="5" t="str">
        <f t="shared" si="37"/>
        <v>SWE_178_54</v>
      </c>
      <c r="B130">
        <f t="shared" si="38"/>
        <v>54.15</v>
      </c>
      <c r="C130" s="8">
        <f t="shared" si="39"/>
        <v>7.32</v>
      </c>
      <c r="D130" s="8">
        <f t="shared" si="40"/>
        <v>2.29</v>
      </c>
      <c r="E130" s="8">
        <f t="shared" si="41"/>
        <v>36.24</v>
      </c>
      <c r="F130" s="8">
        <f t="shared" si="42"/>
        <v>0</v>
      </c>
      <c r="G130" s="8">
        <f t="shared" si="43"/>
        <v>0.13518005540166206</v>
      </c>
      <c r="H130" s="8">
        <f t="shared" si="44"/>
        <v>4.228993536472761E-2</v>
      </c>
      <c r="I130" s="23">
        <f>Table712[[#This Row],[C (As received)]]*Table712[[#This Row],[100/(100*Moisture content as received)]]</f>
        <v>56.301856973528245</v>
      </c>
      <c r="J130" s="8">
        <f>Table712[[#This Row],[H (As received)]]*Table712[[#This Row],[100/(100*Moisture content as received)]]</f>
        <v>7.6108881448980013</v>
      </c>
      <c r="K130" s="8">
        <f>Table712[[#This Row],[N (As received)]]*Table712[[#This Row],[100/(100*Moisture content as received)]]</f>
        <v>2.3810018923246479</v>
      </c>
      <c r="L130" s="8">
        <f>100-Table712[[#This Row],[N(dry basis)]]-Table712[[#This Row],[H (dry basis)]]-Table712[[#This Row],[C (dry basis)]]</f>
        <v>33.706252989249109</v>
      </c>
      <c r="M130" s="25">
        <v>1.0397388176090165</v>
      </c>
    </row>
    <row r="131" spans="1:13" x14ac:dyDescent="0.2">
      <c r="A131" s="5" t="str">
        <f t="shared" si="37"/>
        <v>SWE_178_55</v>
      </c>
      <c r="B131">
        <f t="shared" si="38"/>
        <v>56.28</v>
      </c>
      <c r="C131" s="8">
        <f t="shared" si="39"/>
        <v>7.72</v>
      </c>
      <c r="D131" s="8">
        <f t="shared" si="40"/>
        <v>2.3199999999999998</v>
      </c>
      <c r="E131" s="8">
        <f t="shared" si="41"/>
        <v>33.68</v>
      </c>
      <c r="F131" s="8">
        <f t="shared" si="42"/>
        <v>0</v>
      </c>
      <c r="G131" s="8">
        <f t="shared" si="43"/>
        <v>0.13717128642501777</v>
      </c>
      <c r="H131" s="8">
        <f t="shared" si="44"/>
        <v>4.122245913290689E-2</v>
      </c>
      <c r="I131" s="23">
        <f>Table712[[#This Row],[C (As received)]]*Table712[[#This Row],[100/(100*Moisture content as received)]]</f>
        <v>58.516500655035451</v>
      </c>
      <c r="J131" s="8">
        <f>Table712[[#This Row],[H (As received)]]*Table712[[#This Row],[100/(100*Moisture content as received)]]</f>
        <v>8.0267836719416081</v>
      </c>
      <c r="K131" s="8">
        <f>Table712[[#This Row],[N (As received)]]*Table712[[#This Row],[100/(100*Moisture content as received)]]</f>
        <v>2.4121940568529183</v>
      </c>
      <c r="L131" s="8">
        <f>100-Table712[[#This Row],[N(dry basis)]]-Table712[[#This Row],[H (dry basis)]]-Table712[[#This Row],[C (dry basis)]]</f>
        <v>31.044521616170023</v>
      </c>
      <c r="M131" s="25">
        <v>1.0397388176090165</v>
      </c>
    </row>
    <row r="132" spans="1:13" x14ac:dyDescent="0.2">
      <c r="A132" s="5" t="str">
        <f t="shared" si="37"/>
        <v>SWE_178_56</v>
      </c>
      <c r="B132">
        <f t="shared" si="38"/>
        <v>56.56</v>
      </c>
      <c r="C132" s="8">
        <f t="shared" si="39"/>
        <v>7.67</v>
      </c>
      <c r="D132" s="8">
        <f t="shared" si="40"/>
        <v>2.48</v>
      </c>
      <c r="E132" s="8">
        <f t="shared" si="41"/>
        <v>33.29</v>
      </c>
      <c r="F132" s="8">
        <f t="shared" si="42"/>
        <v>0</v>
      </c>
      <c r="G132" s="8">
        <f t="shared" si="43"/>
        <v>0.13560820367751061</v>
      </c>
      <c r="H132" s="8">
        <f t="shared" si="44"/>
        <v>4.3847241867043849E-2</v>
      </c>
      <c r="I132" s="23">
        <f>Table712[[#This Row],[C (As received)]]*Table712[[#This Row],[100/(100*Moisture content as received)]]</f>
        <v>58.807627523965976</v>
      </c>
      <c r="J132" s="8">
        <f>Table712[[#This Row],[H (As received)]]*Table712[[#This Row],[100/(100*Moisture content as received)]]</f>
        <v>7.9747967310611569</v>
      </c>
      <c r="K132" s="8">
        <f>Table712[[#This Row],[N (As received)]]*Table712[[#This Row],[100/(100*Moisture content as received)]]</f>
        <v>2.5785522676703612</v>
      </c>
      <c r="L132" s="8">
        <f>100-Table712[[#This Row],[N(dry basis)]]-Table712[[#This Row],[H (dry basis)]]-Table712[[#This Row],[C (dry basis)]]</f>
        <v>30.639023477302501</v>
      </c>
      <c r="M132" s="25">
        <v>1.0397388176090165</v>
      </c>
    </row>
    <row r="133" spans="1:13" x14ac:dyDescent="0.2">
      <c r="A133" s="5" t="str">
        <f t="shared" si="37"/>
        <v>SWE_178_57</v>
      </c>
      <c r="B133">
        <f t="shared" si="38"/>
        <v>55.54</v>
      </c>
      <c r="C133" s="8">
        <f t="shared" si="39"/>
        <v>7.44</v>
      </c>
      <c r="D133" s="8">
        <f t="shared" si="40"/>
        <v>2.38</v>
      </c>
      <c r="E133" s="8">
        <f t="shared" si="41"/>
        <v>34.64</v>
      </c>
      <c r="F133" s="8">
        <f t="shared" si="42"/>
        <v>0</v>
      </c>
      <c r="G133" s="8">
        <f t="shared" si="43"/>
        <v>0.13395750810226864</v>
      </c>
      <c r="H133" s="8">
        <f t="shared" si="44"/>
        <v>4.2851998559596684E-2</v>
      </c>
      <c r="I133" s="23">
        <f>Table712[[#This Row],[C (As received)]]*Table712[[#This Row],[100/(100*Moisture content as received)]]</f>
        <v>57.74709393000478</v>
      </c>
      <c r="J133" s="8">
        <f>Table712[[#This Row],[H (As received)]]*Table712[[#This Row],[100/(100*Moisture content as received)]]</f>
        <v>7.735656803011083</v>
      </c>
      <c r="K133" s="8">
        <f>Table712[[#This Row],[N (As received)]]*Table712[[#This Row],[100/(100*Moisture content as received)]]</f>
        <v>2.4745783859094592</v>
      </c>
      <c r="L133" s="8">
        <f>100-Table712[[#This Row],[N(dry basis)]]-Table712[[#This Row],[H (dry basis)]]-Table712[[#This Row],[C (dry basis)]]</f>
        <v>32.042670881074685</v>
      </c>
      <c r="M133" s="25">
        <v>1.0397388176090165</v>
      </c>
    </row>
    <row r="134" spans="1:13" x14ac:dyDescent="0.2">
      <c r="A134" s="5" t="str">
        <f t="shared" si="37"/>
        <v>SWE_178_58</v>
      </c>
      <c r="B134">
        <f t="shared" si="38"/>
        <v>55.95</v>
      </c>
      <c r="C134" s="8">
        <f t="shared" si="39"/>
        <v>7.57</v>
      </c>
      <c r="D134" s="8">
        <f t="shared" si="40"/>
        <v>2.4300000000000002</v>
      </c>
      <c r="E134" s="8">
        <f t="shared" si="41"/>
        <v>34.049999999999997</v>
      </c>
      <c r="F134" s="8">
        <f t="shared" si="42"/>
        <v>0</v>
      </c>
      <c r="G134" s="8">
        <f t="shared" si="43"/>
        <v>0.13529937444146559</v>
      </c>
      <c r="H134" s="8">
        <f t="shared" si="44"/>
        <v>4.3431635388739946E-2</v>
      </c>
      <c r="I134" s="23">
        <f>Table712[[#This Row],[C (As received)]]*Table712[[#This Row],[100/(100*Moisture content as received)]]</f>
        <v>58.173386845224478</v>
      </c>
      <c r="J134" s="8">
        <f>Table712[[#This Row],[H (As received)]]*Table712[[#This Row],[100/(100*Moisture content as received)]]</f>
        <v>7.8708228493002554</v>
      </c>
      <c r="K134" s="8">
        <f>Table712[[#This Row],[N (As received)]]*Table712[[#This Row],[100/(100*Moisture content as received)]]</f>
        <v>2.5265653267899104</v>
      </c>
      <c r="L134" s="8">
        <f>100-Table712[[#This Row],[N(dry basis)]]-Table712[[#This Row],[H (dry basis)]]-Table712[[#This Row],[C (dry basis)]]</f>
        <v>31.429224978685362</v>
      </c>
      <c r="M134" s="25">
        <v>1.0397388176090165</v>
      </c>
    </row>
    <row r="135" spans="1:13" x14ac:dyDescent="0.2">
      <c r="A135" s="5" t="str">
        <f t="shared" si="37"/>
        <v>SWE_178_59</v>
      </c>
      <c r="B135">
        <f t="shared" si="38"/>
        <v>56.71</v>
      </c>
      <c r="C135" s="8">
        <f t="shared" si="39"/>
        <v>7.16</v>
      </c>
      <c r="D135" s="8">
        <f t="shared" si="40"/>
        <v>2.5099999999999998</v>
      </c>
      <c r="E135" s="8">
        <f t="shared" si="41"/>
        <v>33.619999999999997</v>
      </c>
      <c r="F135" s="8">
        <f t="shared" si="42"/>
        <v>0</v>
      </c>
      <c r="G135" s="8">
        <f t="shared" si="43"/>
        <v>0.12625639217069301</v>
      </c>
      <c r="H135" s="8">
        <f t="shared" si="44"/>
        <v>4.4260271557044609E-2</v>
      </c>
      <c r="I135" s="23">
        <f>Table712[[#This Row],[C (As received)]]*Table712[[#This Row],[100/(100*Moisture content as received)]]</f>
        <v>58.963588346607331</v>
      </c>
      <c r="J135" s="8">
        <f>Table712[[#This Row],[H (As received)]]*Table712[[#This Row],[100/(100*Moisture content as received)]]</f>
        <v>7.4445299340805589</v>
      </c>
      <c r="K135" s="8">
        <f>Table712[[#This Row],[N (As received)]]*Table712[[#This Row],[100/(100*Moisture content as received)]]</f>
        <v>2.6097444321986312</v>
      </c>
      <c r="L135" s="8">
        <f>100-Table712[[#This Row],[N(dry basis)]]-Table712[[#This Row],[H (dry basis)]]-Table712[[#This Row],[C (dry basis)]]</f>
        <v>30.982137287113481</v>
      </c>
      <c r="M135" s="25">
        <v>1.0397388176090165</v>
      </c>
    </row>
    <row r="136" spans="1:13" x14ac:dyDescent="0.2">
      <c r="A136" s="5" t="str">
        <f t="shared" si="37"/>
        <v>SWE_178_60</v>
      </c>
      <c r="B136">
        <f t="shared" si="38"/>
        <v>56.61</v>
      </c>
      <c r="C136" s="8">
        <f t="shared" si="39"/>
        <v>7.73</v>
      </c>
      <c r="D136" s="8">
        <f t="shared" si="40"/>
        <v>2.2799999999999998</v>
      </c>
      <c r="E136" s="8">
        <f t="shared" si="41"/>
        <v>33.379999999999995</v>
      </c>
      <c r="F136" s="8">
        <f t="shared" si="42"/>
        <v>0</v>
      </c>
      <c r="G136" s="8">
        <f t="shared" si="43"/>
        <v>0.13654831301890127</v>
      </c>
      <c r="H136" s="8">
        <f t="shared" si="44"/>
        <v>4.0275569687334388E-2</v>
      </c>
      <c r="I136" s="23">
        <f>Table712[[#This Row],[C (As received)]]*Table712[[#This Row],[100/(100*Moisture content as received)]]</f>
        <v>58.859614464846423</v>
      </c>
      <c r="J136" s="8">
        <f>Table712[[#This Row],[H (As received)]]*Table712[[#This Row],[100/(100*Moisture content as received)]]</f>
        <v>8.0371810601176978</v>
      </c>
      <c r="K136" s="8">
        <f>Table712[[#This Row],[N (As received)]]*Table712[[#This Row],[100/(100*Moisture content as received)]]</f>
        <v>2.3706045041485577</v>
      </c>
      <c r="L136" s="8">
        <f>100-Table712[[#This Row],[N(dry basis)]]-Table712[[#This Row],[H (dry basis)]]-Table712[[#This Row],[C (dry basis)]]</f>
        <v>30.732599970887314</v>
      </c>
      <c r="M136" s="25">
        <v>1.0397388176090165</v>
      </c>
    </row>
    <row r="137" spans="1:13" x14ac:dyDescent="0.2">
      <c r="A137" s="5" t="str">
        <f t="shared" si="37"/>
        <v>SWE_178_61</v>
      </c>
      <c r="B137">
        <f t="shared" si="38"/>
        <v>56.03</v>
      </c>
      <c r="C137" s="8">
        <f t="shared" si="39"/>
        <v>7.41</v>
      </c>
      <c r="D137" s="8">
        <f t="shared" si="40"/>
        <v>2.61</v>
      </c>
      <c r="E137" s="8">
        <f t="shared" si="41"/>
        <v>33.950000000000003</v>
      </c>
      <c r="F137" s="8">
        <f t="shared" si="42"/>
        <v>0</v>
      </c>
      <c r="G137" s="8">
        <f t="shared" si="43"/>
        <v>0.13225058004640372</v>
      </c>
      <c r="H137" s="8">
        <f t="shared" si="44"/>
        <v>4.6582188113510614E-2</v>
      </c>
      <c r="I137" s="23">
        <f>Table712[[#This Row],[C (As received)]]*Table712[[#This Row],[100/(100*Moisture content as received)]]</f>
        <v>58.256565950633195</v>
      </c>
      <c r="J137" s="8">
        <f>Table712[[#This Row],[H (As received)]]*Table712[[#This Row],[100/(100*Moisture content as received)]]</f>
        <v>7.704464638482813</v>
      </c>
      <c r="K137" s="8">
        <f>Table712[[#This Row],[N (As received)]]*Table712[[#This Row],[100/(100*Moisture content as received)]]</f>
        <v>2.7137183139595331</v>
      </c>
      <c r="L137" s="8">
        <f>100-Table712[[#This Row],[N(dry basis)]]-Table712[[#This Row],[H (dry basis)]]-Table712[[#This Row],[C (dry basis)]]</f>
        <v>31.325251096924454</v>
      </c>
      <c r="M137" s="25">
        <v>1.0397388176090165</v>
      </c>
    </row>
    <row r="138" spans="1:13" x14ac:dyDescent="0.2">
      <c r="A138" s="5" t="str">
        <f t="shared" si="37"/>
        <v>SWE_178_62</v>
      </c>
      <c r="B138">
        <f t="shared" si="38"/>
        <v>56.12</v>
      </c>
      <c r="C138" s="8">
        <f t="shared" si="39"/>
        <v>7.42</v>
      </c>
      <c r="D138" s="8">
        <f t="shared" si="40"/>
        <v>2.62</v>
      </c>
      <c r="E138" s="8">
        <f t="shared" si="41"/>
        <v>33.840000000000003</v>
      </c>
      <c r="F138" s="8">
        <f t="shared" si="42"/>
        <v>0</v>
      </c>
      <c r="G138" s="8">
        <f t="shared" si="43"/>
        <v>0.13221667854597291</v>
      </c>
      <c r="H138" s="8">
        <f t="shared" si="44"/>
        <v>4.6685673556664295E-2</v>
      </c>
      <c r="I138" s="23">
        <f>Table712[[#This Row],[C (As received)]]*Table712[[#This Row],[100/(100*Moisture content as received)]]</f>
        <v>58.350142444218008</v>
      </c>
      <c r="J138" s="8">
        <f>Table712[[#This Row],[H (As received)]]*Table712[[#This Row],[100/(100*Moisture content as received)]]</f>
        <v>7.7148620266589027</v>
      </c>
      <c r="K138" s="8">
        <f>Table712[[#This Row],[N (As received)]]*Table712[[#This Row],[100/(100*Moisture content as received)]]</f>
        <v>2.7241157021356233</v>
      </c>
      <c r="L138" s="8">
        <f>100-Table712[[#This Row],[N(dry basis)]]-Table712[[#This Row],[H (dry basis)]]-Table712[[#This Row],[C (dry basis)]]</f>
        <v>31.210879826987465</v>
      </c>
      <c r="M138" s="25">
        <v>1.0397388176090165</v>
      </c>
    </row>
    <row r="139" spans="1:13" x14ac:dyDescent="0.2">
      <c r="A139" s="5" t="str">
        <f t="shared" si="37"/>
        <v>SWE_178_63</v>
      </c>
      <c r="B139">
        <f t="shared" si="38"/>
        <v>56.84</v>
      </c>
      <c r="C139" s="8">
        <f t="shared" si="39"/>
        <v>7.44</v>
      </c>
      <c r="D139" s="8">
        <f t="shared" si="40"/>
        <v>2.59</v>
      </c>
      <c r="E139" s="8">
        <f t="shared" si="41"/>
        <v>33.129999999999995</v>
      </c>
      <c r="F139" s="8">
        <f t="shared" si="42"/>
        <v>0</v>
      </c>
      <c r="G139" s="8">
        <f t="shared" si="43"/>
        <v>0.13089373680506686</v>
      </c>
      <c r="H139" s="8">
        <f t="shared" si="44"/>
        <v>4.556650246305418E-2</v>
      </c>
      <c r="I139" s="23">
        <f>Table712[[#This Row],[C (As received)]]*Table712[[#This Row],[100/(100*Moisture content as received)]]</f>
        <v>59.098754392896502</v>
      </c>
      <c r="J139" s="8">
        <f>Table712[[#This Row],[H (As received)]]*Table712[[#This Row],[100/(100*Moisture content as received)]]</f>
        <v>7.735656803011083</v>
      </c>
      <c r="K139" s="8">
        <f>Table712[[#This Row],[N (As received)]]*Table712[[#This Row],[100/(100*Moisture content as received)]]</f>
        <v>2.6929235376073528</v>
      </c>
      <c r="L139" s="8">
        <f>100-Table712[[#This Row],[N(dry basis)]]-Table712[[#This Row],[H (dry basis)]]-Table712[[#This Row],[C (dry basis)]]</f>
        <v>30.472665266485059</v>
      </c>
      <c r="M139" s="25">
        <v>1.0397388176090165</v>
      </c>
    </row>
    <row r="140" spans="1:13" x14ac:dyDescent="0.2">
      <c r="A140" s="5" t="str">
        <f t="shared" si="37"/>
        <v>SWE_178_64</v>
      </c>
      <c r="B140">
        <f t="shared" si="38"/>
        <v>55.92</v>
      </c>
      <c r="C140" s="8">
        <f t="shared" si="39"/>
        <v>7.38</v>
      </c>
      <c r="D140" s="8">
        <f t="shared" si="40"/>
        <v>2.56</v>
      </c>
      <c r="E140" s="8">
        <f t="shared" si="41"/>
        <v>34.139999999999993</v>
      </c>
      <c r="F140" s="8">
        <f t="shared" si="42"/>
        <v>0</v>
      </c>
      <c r="G140" s="8">
        <f t="shared" si="43"/>
        <v>0.13197424892703863</v>
      </c>
      <c r="H140" s="8">
        <f t="shared" si="44"/>
        <v>4.5779685264663805E-2</v>
      </c>
      <c r="I140" s="23">
        <f>Table712[[#This Row],[C (As received)]]*Table712[[#This Row],[100/(100*Moisture content as received)]]</f>
        <v>58.142194680696207</v>
      </c>
      <c r="J140" s="8">
        <f>Table712[[#This Row],[H (As received)]]*Table712[[#This Row],[100/(100*Moisture content as received)]]</f>
        <v>7.6732724739545421</v>
      </c>
      <c r="K140" s="8">
        <f>Table712[[#This Row],[N (As received)]]*Table712[[#This Row],[100/(100*Moisture content as received)]]</f>
        <v>2.6617313730790824</v>
      </c>
      <c r="L140" s="8">
        <f>100-Table712[[#This Row],[N(dry basis)]]-Table712[[#This Row],[H (dry basis)]]-Table712[[#This Row],[C (dry basis)]]</f>
        <v>31.522801472270174</v>
      </c>
      <c r="M140" s="25">
        <v>1.0397388176090165</v>
      </c>
    </row>
    <row r="141" spans="1:13" x14ac:dyDescent="0.2">
      <c r="A141" s="5" t="str">
        <f t="shared" si="37"/>
        <v>SWE_178_65</v>
      </c>
      <c r="B141">
        <f t="shared" si="38"/>
        <v>55.58</v>
      </c>
      <c r="C141" s="8">
        <f t="shared" si="39"/>
        <v>7.24</v>
      </c>
      <c r="D141" s="8">
        <f t="shared" si="40"/>
        <v>2.61</v>
      </c>
      <c r="E141" s="8">
        <f t="shared" si="41"/>
        <v>34.57</v>
      </c>
      <c r="F141" s="8">
        <f t="shared" si="42"/>
        <v>0</v>
      </c>
      <c r="G141" s="8">
        <f t="shared" si="43"/>
        <v>0.13026268441885572</v>
      </c>
      <c r="H141" s="8">
        <f t="shared" si="44"/>
        <v>4.6959337891327814E-2</v>
      </c>
      <c r="I141" s="23">
        <f>Table712[[#This Row],[C (As received)]]*Table712[[#This Row],[100/(100*Moisture content as received)]]</f>
        <v>57.788683482709139</v>
      </c>
      <c r="J141" s="8">
        <f>Table712[[#This Row],[H (As received)]]*Table712[[#This Row],[100/(100*Moisture content as received)]]</f>
        <v>7.5277090394892801</v>
      </c>
      <c r="K141" s="8">
        <f>Table712[[#This Row],[N (As received)]]*Table712[[#This Row],[100/(100*Moisture content as received)]]</f>
        <v>2.7137183139595331</v>
      </c>
      <c r="L141" s="8">
        <f>100-Table712[[#This Row],[N(dry basis)]]-Table712[[#This Row],[H (dry basis)]]-Table712[[#This Row],[C (dry basis)]]</f>
        <v>31.969889163842048</v>
      </c>
      <c r="M141" s="25">
        <v>1.0397388176090165</v>
      </c>
    </row>
    <row r="142" spans="1:13" x14ac:dyDescent="0.2">
      <c r="A142" s="5" t="str">
        <f t="shared" si="37"/>
        <v>SWE_178_66</v>
      </c>
      <c r="B142">
        <f t="shared" si="38"/>
        <v>55.74</v>
      </c>
      <c r="C142" s="8">
        <f t="shared" si="39"/>
        <v>7.48</v>
      </c>
      <c r="D142" s="8">
        <f t="shared" si="40"/>
        <v>2.54</v>
      </c>
      <c r="E142" s="8">
        <f t="shared" si="41"/>
        <v>34.24</v>
      </c>
      <c r="F142" s="8">
        <f t="shared" si="42"/>
        <v>0</v>
      </c>
      <c r="G142" s="8">
        <f t="shared" si="43"/>
        <v>0.13419447434517404</v>
      </c>
      <c r="H142" s="8">
        <f t="shared" si="44"/>
        <v>4.5568711876569787E-2</v>
      </c>
      <c r="I142" s="23">
        <f>Table712[[#This Row],[C (As received)]]*Table712[[#This Row],[100/(100*Moisture content as received)]]</f>
        <v>57.955041693526582</v>
      </c>
      <c r="J142" s="8">
        <f>Table712[[#This Row],[H (As received)]]*Table712[[#This Row],[100/(100*Moisture content as received)]]</f>
        <v>7.7772463557154445</v>
      </c>
      <c r="K142" s="8">
        <f>Table712[[#This Row],[N (As received)]]*Table712[[#This Row],[100/(100*Moisture content as received)]]</f>
        <v>2.6409365967269021</v>
      </c>
      <c r="L142" s="8">
        <f>100-Table712[[#This Row],[N(dry basis)]]-Table712[[#This Row],[H (dry basis)]]-Table712[[#This Row],[C (dry basis)]]</f>
        <v>31.626775354031068</v>
      </c>
      <c r="M142" s="25">
        <v>1.0397388176090165</v>
      </c>
    </row>
    <row r="143" spans="1:13" x14ac:dyDescent="0.2">
      <c r="A143" s="5" t="str">
        <f t="shared" ref="A143:A151" si="45">A67</f>
        <v>SWE_178_67</v>
      </c>
      <c r="B143">
        <f t="shared" si="38"/>
        <v>56.07</v>
      </c>
      <c r="C143" s="8">
        <f t="shared" si="39"/>
        <v>7.39</v>
      </c>
      <c r="D143" s="8">
        <f t="shared" si="40"/>
        <v>2.6</v>
      </c>
      <c r="E143" s="8">
        <f t="shared" si="41"/>
        <v>33.94</v>
      </c>
      <c r="F143" s="8">
        <f t="shared" si="42"/>
        <v>0</v>
      </c>
      <c r="G143" s="8">
        <f t="shared" si="43"/>
        <v>0.1317995362939183</v>
      </c>
      <c r="H143" s="8">
        <f t="shared" si="44"/>
        <v>4.6370608168360979E-2</v>
      </c>
      <c r="I143" s="23">
        <f>Table712[[#This Row],[C (As received)]]*Table712[[#This Row],[100/(100*Moisture content as received)]]</f>
        <v>58.298155503337554</v>
      </c>
      <c r="J143" s="8">
        <f>Table712[[#This Row],[H (As received)]]*Table712[[#This Row],[100/(100*Moisture content as received)]]</f>
        <v>7.6836698621306319</v>
      </c>
      <c r="K143" s="8">
        <f>Table712[[#This Row],[N (As received)]]*Table712[[#This Row],[100/(100*Moisture content as received)]]</f>
        <v>2.703320925783443</v>
      </c>
      <c r="L143" s="8">
        <f>100-Table712[[#This Row],[N(dry basis)]]-Table712[[#This Row],[H (dry basis)]]-Table712[[#This Row],[C (dry basis)]]</f>
        <v>31.314853708748373</v>
      </c>
      <c r="M143" s="25">
        <v>1.0397388176090165</v>
      </c>
    </row>
    <row r="144" spans="1:13" x14ac:dyDescent="0.2">
      <c r="A144" s="5" t="str">
        <f t="shared" si="45"/>
        <v>SWE_178_68</v>
      </c>
      <c r="B144">
        <f t="shared" si="38"/>
        <v>55.92</v>
      </c>
      <c r="C144" s="8">
        <f t="shared" si="39"/>
        <v>7.28</v>
      </c>
      <c r="D144" s="8">
        <f t="shared" si="40"/>
        <v>2.5499999999999998</v>
      </c>
      <c r="E144" s="8">
        <f t="shared" si="41"/>
        <v>34.25</v>
      </c>
      <c r="F144" s="8">
        <f t="shared" si="42"/>
        <v>0</v>
      </c>
      <c r="G144" s="8">
        <f t="shared" si="43"/>
        <v>0.1301859799713877</v>
      </c>
      <c r="H144" s="8">
        <f t="shared" si="44"/>
        <v>4.5600858369098711E-2</v>
      </c>
      <c r="I144" s="23">
        <f>Table712[[#This Row],[C (As received)]]*Table712[[#This Row],[100/(100*Moisture content as received)]]</f>
        <v>58.142194680696207</v>
      </c>
      <c r="J144" s="8">
        <f>Table712[[#This Row],[H (As received)]]*Table712[[#This Row],[100/(100*Moisture content as received)]]</f>
        <v>7.5692985921936407</v>
      </c>
      <c r="K144" s="8">
        <f>Table712[[#This Row],[N (As received)]]*Table712[[#This Row],[100/(100*Moisture content as received)]]</f>
        <v>2.6513339849029922</v>
      </c>
      <c r="L144" s="8">
        <f>100-Table712[[#This Row],[N(dry basis)]]-Table712[[#This Row],[H (dry basis)]]-Table712[[#This Row],[C (dry basis)]]</f>
        <v>31.637172742207156</v>
      </c>
      <c r="M144" s="25">
        <v>1.0397388176090165</v>
      </c>
    </row>
    <row r="145" spans="1:13" x14ac:dyDescent="0.2">
      <c r="A145" s="5" t="str">
        <f t="shared" si="45"/>
        <v>SWE_178_69</v>
      </c>
      <c r="B145">
        <f t="shared" si="38"/>
        <v>56.16</v>
      </c>
      <c r="C145" s="8">
        <f t="shared" si="39"/>
        <v>7.2</v>
      </c>
      <c r="D145" s="8">
        <f t="shared" si="40"/>
        <v>2.44</v>
      </c>
      <c r="E145" s="8">
        <f t="shared" si="41"/>
        <v>34.200000000000003</v>
      </c>
      <c r="F145" s="8">
        <f t="shared" si="42"/>
        <v>0</v>
      </c>
      <c r="G145" s="8">
        <f t="shared" si="43"/>
        <v>0.12820512820512822</v>
      </c>
      <c r="H145" s="8">
        <f t="shared" si="44"/>
        <v>4.344729344729345E-2</v>
      </c>
      <c r="I145" s="23">
        <f>Table712[[#This Row],[C (As received)]]*Table712[[#This Row],[100/(100*Moisture content as received)]]</f>
        <v>58.391731996922367</v>
      </c>
      <c r="J145" s="8">
        <f>Table712[[#This Row],[H (As received)]]*Table712[[#This Row],[100/(100*Moisture content as received)]]</f>
        <v>7.4861194867849195</v>
      </c>
      <c r="K145" s="8">
        <f>Table712[[#This Row],[N (As received)]]*Table712[[#This Row],[100/(100*Moisture content as received)]]</f>
        <v>2.5369627149660001</v>
      </c>
      <c r="L145" s="8">
        <f>100-Table712[[#This Row],[N(dry basis)]]-Table712[[#This Row],[H (dry basis)]]-Table712[[#This Row],[C (dry basis)]]</f>
        <v>31.585185801326723</v>
      </c>
      <c r="M145" s="25">
        <v>1.0397388176090165</v>
      </c>
    </row>
    <row r="146" spans="1:13" x14ac:dyDescent="0.2">
      <c r="A146" s="5" t="str">
        <f t="shared" si="45"/>
        <v>SWE_178_70</v>
      </c>
      <c r="B146">
        <f t="shared" si="38"/>
        <v>55.55</v>
      </c>
      <c r="C146" s="8">
        <f t="shared" si="39"/>
        <v>6.9</v>
      </c>
      <c r="D146" s="8">
        <f t="shared" si="40"/>
        <v>2.36</v>
      </c>
      <c r="E146" s="8">
        <f t="shared" si="41"/>
        <v>35.190000000000005</v>
      </c>
      <c r="F146" s="8">
        <f t="shared" si="42"/>
        <v>0</v>
      </c>
      <c r="G146" s="8">
        <f t="shared" si="43"/>
        <v>0.12421242124212423</v>
      </c>
      <c r="H146" s="8">
        <f t="shared" si="44"/>
        <v>4.2484248424842483E-2</v>
      </c>
      <c r="I146" s="23">
        <f>Table712[[#This Row],[C (As received)]]*Table712[[#This Row],[100/(100*Moisture content as received)]]</f>
        <v>57.757491318180868</v>
      </c>
      <c r="J146" s="8">
        <f>Table712[[#This Row],[H (As received)]]*Table712[[#This Row],[100/(100*Moisture content as received)]]</f>
        <v>7.1741978415022141</v>
      </c>
      <c r="K146" s="8">
        <f>Table712[[#This Row],[N (As received)]]*Table712[[#This Row],[100/(100*Moisture content as received)]]</f>
        <v>2.4537836095572789</v>
      </c>
      <c r="L146" s="8">
        <f>100-Table712[[#This Row],[N(dry basis)]]-Table712[[#This Row],[H (dry basis)]]-Table712[[#This Row],[C (dry basis)]]</f>
        <v>32.614527230759634</v>
      </c>
      <c r="M146" s="25">
        <v>1.0397388176090165</v>
      </c>
    </row>
    <row r="147" spans="1:13" x14ac:dyDescent="0.2">
      <c r="A147" s="5" t="str">
        <f t="shared" si="45"/>
        <v>SWE_178_71</v>
      </c>
      <c r="B147">
        <f t="shared" si="38"/>
        <v>46.08</v>
      </c>
      <c r="C147" s="8">
        <f t="shared" si="39"/>
        <v>7.32</v>
      </c>
      <c r="D147" s="8">
        <f t="shared" si="40"/>
        <v>1.72</v>
      </c>
      <c r="E147" s="8">
        <f t="shared" si="41"/>
        <v>44.88</v>
      </c>
      <c r="F147" s="8">
        <f t="shared" si="42"/>
        <v>0</v>
      </c>
      <c r="G147" s="8">
        <f t="shared" si="43"/>
        <v>0.15885416666666669</v>
      </c>
      <c r="H147" s="8">
        <f t="shared" si="44"/>
        <v>3.7326388888888888E-2</v>
      </c>
      <c r="I147" s="23">
        <f>Table712[[#This Row],[C (As received)]]*Table712[[#This Row],[100/(100*Moisture content as received)]]</f>
        <v>47.911164715423482</v>
      </c>
      <c r="J147" s="8">
        <f>Table712[[#This Row],[H (As received)]]*Table712[[#This Row],[100/(100*Moisture content as received)]]</f>
        <v>7.6108881448980013</v>
      </c>
      <c r="K147" s="8">
        <f>Table712[[#This Row],[N (As received)]]*Table712[[#This Row],[100/(100*Moisture content as received)]]</f>
        <v>1.7883507662875084</v>
      </c>
      <c r="L147" s="8">
        <f>100-Table712[[#This Row],[N(dry basis)]]-Table712[[#This Row],[H (dry basis)]]-Table712[[#This Row],[C (dry basis)]]</f>
        <v>42.689596373391012</v>
      </c>
      <c r="M147" s="25">
        <v>1.0397388176090165</v>
      </c>
    </row>
    <row r="148" spans="1:13" x14ac:dyDescent="0.2">
      <c r="A148" s="5" t="str">
        <f t="shared" si="45"/>
        <v>SWE_178_72</v>
      </c>
      <c r="B148">
        <f t="shared" si="38"/>
        <v>56.46</v>
      </c>
      <c r="C148" s="8">
        <f t="shared" si="39"/>
        <v>7.93</v>
      </c>
      <c r="D148" s="8">
        <f t="shared" si="40"/>
        <v>2.16</v>
      </c>
      <c r="E148" s="8">
        <f t="shared" si="41"/>
        <v>33.450000000000003</v>
      </c>
      <c r="F148" s="8">
        <f t="shared" si="42"/>
        <v>0</v>
      </c>
      <c r="G148" s="8">
        <f t="shared" si="43"/>
        <v>0.14045341834927383</v>
      </c>
      <c r="H148" s="8">
        <f t="shared" si="44"/>
        <v>3.8257173219978749E-2</v>
      </c>
      <c r="I148" s="23">
        <f>Table712[[#This Row],[C (As received)]]*Table712[[#This Row],[100/(100*Moisture content as received)]]</f>
        <v>58.703653642205076</v>
      </c>
      <c r="J148" s="8">
        <f>Table712[[#This Row],[H (As received)]]*Table712[[#This Row],[100/(100*Moisture content as received)]]</f>
        <v>8.2451288236395008</v>
      </c>
      <c r="K148" s="8">
        <f>Table712[[#This Row],[N (As received)]]*Table712[[#This Row],[100/(100*Moisture content as received)]]</f>
        <v>2.2458358460354759</v>
      </c>
      <c r="L148" s="8">
        <f>100-Table712[[#This Row],[N(dry basis)]]-Table712[[#This Row],[H (dry basis)]]-Table712[[#This Row],[C (dry basis)]]</f>
        <v>30.805381688119944</v>
      </c>
      <c r="M148" s="25">
        <v>1.0397388176090165</v>
      </c>
    </row>
    <row r="149" spans="1:13" x14ac:dyDescent="0.2">
      <c r="A149" s="5" t="str">
        <f t="shared" si="45"/>
        <v>SWE_178_73</v>
      </c>
      <c r="B149">
        <f t="shared" si="38"/>
        <v>56.4</v>
      </c>
      <c r="C149" s="8">
        <f t="shared" si="39"/>
        <v>7.84</v>
      </c>
      <c r="D149" s="8">
        <f t="shared" si="40"/>
        <v>2.25</v>
      </c>
      <c r="E149" s="8">
        <f t="shared" si="41"/>
        <v>33.510000000000005</v>
      </c>
      <c r="F149" s="8">
        <f t="shared" si="42"/>
        <v>0</v>
      </c>
      <c r="G149" s="8">
        <f t="shared" si="43"/>
        <v>0.13900709219858157</v>
      </c>
      <c r="H149" s="8">
        <f t="shared" si="44"/>
        <v>3.9893617021276598E-2</v>
      </c>
      <c r="I149" s="23">
        <f>Table712[[#This Row],[C (As received)]]*Table712[[#This Row],[100/(100*Moisture content as received)]]</f>
        <v>58.641269313148534</v>
      </c>
      <c r="J149" s="8">
        <f>Table712[[#This Row],[H (As received)]]*Table712[[#This Row],[100/(100*Moisture content as received)]]</f>
        <v>8.1515523300546899</v>
      </c>
      <c r="K149" s="8">
        <f>Table712[[#This Row],[N (As received)]]*Table712[[#This Row],[100/(100*Moisture content as received)]]</f>
        <v>2.3394123396202873</v>
      </c>
      <c r="L149" s="8">
        <f>100-Table712[[#This Row],[N(dry basis)]]-Table712[[#This Row],[H (dry basis)]]-Table712[[#This Row],[C (dry basis)]]</f>
        <v>30.8677660171765</v>
      </c>
      <c r="M149" s="25">
        <v>1.0397388176090165</v>
      </c>
    </row>
    <row r="150" spans="1:13" x14ac:dyDescent="0.2">
      <c r="A150" s="5" t="str">
        <f t="shared" si="45"/>
        <v>SWE_178_74</v>
      </c>
      <c r="B150">
        <f t="shared" si="38"/>
        <v>56.67</v>
      </c>
      <c r="C150" s="8">
        <f t="shared" si="39"/>
        <v>7.46</v>
      </c>
      <c r="D150" s="8">
        <f t="shared" si="40"/>
        <v>2.35</v>
      </c>
      <c r="E150" s="8">
        <f t="shared" si="41"/>
        <v>33.519999999999996</v>
      </c>
      <c r="F150" s="8">
        <f t="shared" si="42"/>
        <v>0</v>
      </c>
      <c r="G150" s="8">
        <f t="shared" si="43"/>
        <v>0.13163931533439208</v>
      </c>
      <c r="H150" s="8">
        <f t="shared" si="44"/>
        <v>4.1468148932415738E-2</v>
      </c>
      <c r="I150" s="23">
        <f>Table712[[#This Row],[C (As received)]]*Table712[[#This Row],[100/(100*Moisture content as received)]]</f>
        <v>58.921998793902972</v>
      </c>
      <c r="J150" s="8">
        <f>Table712[[#This Row],[H (As received)]]*Table712[[#This Row],[100/(100*Moisture content as received)]]</f>
        <v>7.7564515793632633</v>
      </c>
      <c r="K150" s="8">
        <f>Table712[[#This Row],[N (As received)]]*Table712[[#This Row],[100/(100*Moisture content as received)]]</f>
        <v>2.4433862213811888</v>
      </c>
      <c r="L150" s="8">
        <f>100-Table712[[#This Row],[N(dry basis)]]-Table712[[#This Row],[H (dry basis)]]-Table712[[#This Row],[C (dry basis)]]</f>
        <v>30.878163405352581</v>
      </c>
      <c r="M150" s="25">
        <v>1.0397388176090165</v>
      </c>
    </row>
    <row r="151" spans="1:13" x14ac:dyDescent="0.2">
      <c r="A151" s="5" t="str">
        <f t="shared" si="45"/>
        <v>SWE_178_75</v>
      </c>
      <c r="B151">
        <f t="shared" si="38"/>
        <v>56.69</v>
      </c>
      <c r="C151" s="8">
        <f t="shared" si="39"/>
        <v>7.7</v>
      </c>
      <c r="D151" s="8">
        <f t="shared" si="40"/>
        <v>2.38</v>
      </c>
      <c r="E151" s="8">
        <f t="shared" si="41"/>
        <v>33.229999999999997</v>
      </c>
      <c r="F151" s="8">
        <f t="shared" si="42"/>
        <v>0</v>
      </c>
      <c r="G151" s="8">
        <f t="shared" si="43"/>
        <v>0.13582642441347681</v>
      </c>
      <c r="H151" s="8">
        <f t="shared" si="44"/>
        <v>4.1982713000529193E-2</v>
      </c>
      <c r="I151" s="23">
        <f>Table712[[#This Row],[C (As received)]]*Table712[[#This Row],[100/(100*Moisture content as received)]]</f>
        <v>58.942793570255148</v>
      </c>
      <c r="J151" s="8">
        <f>Table712[[#This Row],[H (As received)]]*Table712[[#This Row],[100/(100*Moisture content as received)]]</f>
        <v>8.0059888955894269</v>
      </c>
      <c r="K151" s="8">
        <f>Table712[[#This Row],[N (As received)]]*Table712[[#This Row],[100/(100*Moisture content as received)]]</f>
        <v>2.4745783859094592</v>
      </c>
      <c r="L151" s="8">
        <f>100-Table712[[#This Row],[N(dry basis)]]-Table712[[#This Row],[H (dry basis)]]-Table712[[#This Row],[C (dry basis)]]</f>
        <v>30.576639148245974</v>
      </c>
      <c r="M151" s="25">
        <v>1.0397388176090165</v>
      </c>
    </row>
    <row r="152" spans="1:13" x14ac:dyDescent="0.2">
      <c r="A152" s="5"/>
    </row>
    <row r="153" spans="1:13" x14ac:dyDescent="0.2">
      <c r="A153" s="5"/>
      <c r="H153" t="s">
        <v>264</v>
      </c>
      <c r="I153">
        <f>AVERAGE(Table712[C (dry basis)])</f>
        <v>58.23306199567174</v>
      </c>
      <c r="J153">
        <f>AVERAGE(Table712[H (dry basis)])</f>
        <v>7.809756499026598</v>
      </c>
      <c r="K153">
        <f>AVERAGE(Table712[N(dry basis)])</f>
        <v>2.5051847820897821</v>
      </c>
      <c r="L153">
        <f>AVERAGE(Table712[O (dry basis)])</f>
        <v>31.451996723211867</v>
      </c>
    </row>
    <row r="154" spans="1:13" x14ac:dyDescent="0.2">
      <c r="A154" s="5" t="s">
        <v>263</v>
      </c>
      <c r="H154" t="s">
        <v>16</v>
      </c>
      <c r="I154">
        <f>STDEV(Table712[C (dry basis)])</f>
        <v>3.0495795591549939</v>
      </c>
      <c r="J154">
        <f>STDEV(Table712[H (dry basis)])</f>
        <v>0.2406282555075468</v>
      </c>
      <c r="K154">
        <f>STDEV(Table712[N(dry basis)])</f>
        <v>0.15215029198657823</v>
      </c>
      <c r="L154">
        <f>STDEV(Table712[O (dry basis)])</f>
        <v>3.0642885572303125</v>
      </c>
    </row>
    <row r="155" spans="1:13" x14ac:dyDescent="0.2">
      <c r="A155" s="5"/>
      <c r="H155" t="s">
        <v>256</v>
      </c>
      <c r="I155">
        <f>_xlfn.CONFIDENCE.T(0.05,I154,COUNT(Table712[C (dry basis)]))</f>
        <v>0.72182370499032322</v>
      </c>
      <c r="J155">
        <f>_xlfn.CONFIDENCE.T(0.05,J154,COUNT(Table712[H (dry basis)]))</f>
        <v>5.695577883658938E-2</v>
      </c>
      <c r="K155">
        <f>_xlfn.CONFIDENCE.T(0.05,K154,COUNT(Table712[N(dry basis)]))</f>
        <v>3.6013386549437296E-2</v>
      </c>
      <c r="L155">
        <f>_xlfn.CONFIDENCE.T(0.05,L154,COUNT(Table712[O (dry basis)]))</f>
        <v>0.72530526803252948</v>
      </c>
    </row>
    <row r="156" spans="1:13" x14ac:dyDescent="0.2">
      <c r="A156" s="5"/>
    </row>
    <row r="157" spans="1:13" x14ac:dyDescent="0.2">
      <c r="A157" s="5"/>
    </row>
    <row r="158" spans="1:13" x14ac:dyDescent="0.2">
      <c r="A158" s="5"/>
    </row>
    <row r="159" spans="1:13" x14ac:dyDescent="0.2">
      <c r="A159" s="48" t="s">
        <v>23</v>
      </c>
      <c r="B159" t="s">
        <v>17</v>
      </c>
      <c r="C159" t="s">
        <v>18</v>
      </c>
      <c r="D159" t="s">
        <v>19</v>
      </c>
      <c r="E159" t="s">
        <v>20</v>
      </c>
      <c r="F159" t="s">
        <v>21</v>
      </c>
      <c r="G159" t="s">
        <v>24</v>
      </c>
      <c r="H159" t="s">
        <v>22</v>
      </c>
      <c r="I159" s="9" t="s">
        <v>240</v>
      </c>
      <c r="J159" t="s">
        <v>86</v>
      </c>
      <c r="K159" t="s">
        <v>15</v>
      </c>
      <c r="L159" t="s">
        <v>267</v>
      </c>
    </row>
    <row r="160" spans="1:13" x14ac:dyDescent="0.2">
      <c r="A160" s="5" t="str">
        <f t="shared" ref="A160:A191" si="46">A81</f>
        <v>SWE_178_3</v>
      </c>
      <c r="B160">
        <f t="shared" ref="B160:B191" si="47">3.55*I81^2</f>
        <v>12121.308388993355</v>
      </c>
      <c r="C160">
        <f t="shared" ref="C160:C191" si="48">232*I81</f>
        <v>13556.530599513402</v>
      </c>
      <c r="D160">
        <f t="shared" ref="D160:D191" si="49">2230*J81</f>
        <v>17563.528041755908</v>
      </c>
      <c r="E160">
        <f t="shared" ref="E160:E191" si="50">51.2*I81*J81</f>
        <v>23563.371488081713</v>
      </c>
      <c r="F160">
        <f t="shared" ref="F160:F191" si="51">131*K81</f>
        <v>327.57491318180871</v>
      </c>
      <c r="G160">
        <f>20600</f>
        <v>20600</v>
      </c>
      <c r="H160">
        <f>B160-C160-D160+E160+F160+G160</f>
        <v>25492.196148987568</v>
      </c>
      <c r="I160" s="9">
        <f>Table14[[#This Row],[HHV kJ/kg]]/1000</f>
        <v>25.492196148987567</v>
      </c>
      <c r="J160" s="9">
        <f>AVERAGE(I160:I230)</f>
        <v>25.353283785494071</v>
      </c>
      <c r="K160">
        <f>STDEV(Table14[HHV MJ/kg db])</f>
        <v>1.6321837492260174</v>
      </c>
      <c r="L160">
        <f>_xlfn.CONFIDENCE.T(0.05,Table14[[#This Row],[stdev]],COUNT(Table14[HHV MJ/kg db]))</f>
        <v>0.38633159038414233</v>
      </c>
    </row>
    <row r="161" spans="1:9" x14ac:dyDescent="0.2">
      <c r="A161" s="5" t="str">
        <f t="shared" si="46"/>
        <v>SWE_178_4</v>
      </c>
      <c r="B161">
        <f t="shared" si="47"/>
        <v>11975.088515212627</v>
      </c>
      <c r="C161">
        <f t="shared" si="48"/>
        <v>13474.516001580403</v>
      </c>
      <c r="D161">
        <f t="shared" si="49"/>
        <v>17343.259373245441</v>
      </c>
      <c r="E161">
        <f t="shared" si="50"/>
        <v>23127.090861974208</v>
      </c>
      <c r="F161">
        <f t="shared" si="51"/>
        <v>333.70417351161387</v>
      </c>
      <c r="G161">
        <f>20600</f>
        <v>20600</v>
      </c>
      <c r="H161">
        <f t="shared" ref="H161:H224" si="52">B161-C161-D161+E161+F161+G161</f>
        <v>25218.108175872603</v>
      </c>
      <c r="I161" s="9">
        <f>Table14[[#This Row],[HHV kJ/kg]]/1000</f>
        <v>25.218108175872604</v>
      </c>
    </row>
    <row r="162" spans="1:9" x14ac:dyDescent="0.2">
      <c r="A162" s="5" t="str">
        <f t="shared" si="46"/>
        <v>SWE_178_5</v>
      </c>
      <c r="B162">
        <f t="shared" si="47"/>
        <v>12268.415550960506</v>
      </c>
      <c r="C162">
        <f t="shared" si="48"/>
        <v>13638.545197446399</v>
      </c>
      <c r="D162">
        <f t="shared" si="49"/>
        <v>17818.5759737154</v>
      </c>
      <c r="E162">
        <f t="shared" si="50"/>
        <v>24050.170158320088</v>
      </c>
      <c r="F162">
        <f t="shared" si="51"/>
        <v>308.50610326685933</v>
      </c>
      <c r="G162">
        <f>20600</f>
        <v>20600</v>
      </c>
      <c r="H162">
        <f t="shared" si="52"/>
        <v>25769.970641385655</v>
      </c>
      <c r="I162" s="9">
        <f>Table14[[#This Row],[HHV kJ/kg]]/1000</f>
        <v>25.769970641385655</v>
      </c>
    </row>
    <row r="163" spans="1:9" x14ac:dyDescent="0.2">
      <c r="A163" s="5" t="str">
        <f t="shared" si="46"/>
        <v>SWE_178_6</v>
      </c>
      <c r="B163">
        <f t="shared" si="47"/>
        <v>12164.483095296519</v>
      </c>
      <c r="C163">
        <f t="shared" si="48"/>
        <v>13580.65254008193</v>
      </c>
      <c r="D163">
        <f t="shared" si="49"/>
        <v>17540.341866123228</v>
      </c>
      <c r="E163">
        <f t="shared" si="50"/>
        <v>23574.13708420689</v>
      </c>
      <c r="F163">
        <f t="shared" si="51"/>
        <v>325.53182640520697</v>
      </c>
      <c r="G163">
        <f>20600</f>
        <v>20600</v>
      </c>
      <c r="H163">
        <f t="shared" si="52"/>
        <v>25543.15759970346</v>
      </c>
      <c r="I163" s="9">
        <f>Table14[[#This Row],[HHV kJ/kg]]/1000</f>
        <v>25.543157599703459</v>
      </c>
    </row>
    <row r="164" spans="1:9" x14ac:dyDescent="0.2">
      <c r="A164" s="5" t="str">
        <f t="shared" si="46"/>
        <v>SWE_178_7</v>
      </c>
      <c r="B164">
        <f t="shared" si="47"/>
        <v>11962.22936068729</v>
      </c>
      <c r="C164">
        <f t="shared" si="48"/>
        <v>13467.279419409844</v>
      </c>
      <c r="D164">
        <f t="shared" si="49"/>
        <v>17621.493480837613</v>
      </c>
      <c r="E164">
        <f t="shared" si="50"/>
        <v>23485.493885263557</v>
      </c>
      <c r="F164">
        <f t="shared" si="51"/>
        <v>325.53182640520697</v>
      </c>
      <c r="G164">
        <f>20600</f>
        <v>20600</v>
      </c>
      <c r="H164">
        <f t="shared" si="52"/>
        <v>25284.482172108597</v>
      </c>
      <c r="I164" s="9">
        <f>Table14[[#This Row],[HHV kJ/kg]]/1000</f>
        <v>25.284482172108596</v>
      </c>
    </row>
    <row r="165" spans="1:9" x14ac:dyDescent="0.2">
      <c r="A165" s="5" t="str">
        <f t="shared" si="46"/>
        <v>SWE_178_8</v>
      </c>
      <c r="B165">
        <f t="shared" si="47"/>
        <v>12101.904812486584</v>
      </c>
      <c r="C165">
        <f t="shared" si="48"/>
        <v>13545.675726257563</v>
      </c>
      <c r="D165">
        <f t="shared" si="49"/>
        <v>17853.355237164422</v>
      </c>
      <c r="E165">
        <f t="shared" si="50"/>
        <v>23933.027188452037</v>
      </c>
      <c r="F165">
        <f t="shared" si="51"/>
        <v>312.59227682006275</v>
      </c>
      <c r="G165">
        <f>20600</f>
        <v>20600</v>
      </c>
      <c r="H165">
        <f t="shared" si="52"/>
        <v>25548.493314336698</v>
      </c>
      <c r="I165" s="9">
        <f>Table14[[#This Row],[HHV kJ/kg]]/1000</f>
        <v>25.548493314336699</v>
      </c>
    </row>
    <row r="166" spans="1:9" x14ac:dyDescent="0.2">
      <c r="A166" s="5" t="str">
        <f t="shared" si="46"/>
        <v>SWE_178_9</v>
      </c>
      <c r="B166">
        <f t="shared" si="47"/>
        <v>12084.670237280692</v>
      </c>
      <c r="C166">
        <f t="shared" si="48"/>
        <v>13536.026950030149</v>
      </c>
      <c r="D166">
        <f t="shared" si="49"/>
        <v>17691.052007735656</v>
      </c>
      <c r="E166">
        <f t="shared" si="50"/>
        <v>23698.56136086295</v>
      </c>
      <c r="F166">
        <f t="shared" si="51"/>
        <v>318.72153714986791</v>
      </c>
      <c r="G166">
        <f>20600</f>
        <v>20600</v>
      </c>
      <c r="H166">
        <f t="shared" si="52"/>
        <v>25474.874177527705</v>
      </c>
      <c r="I166" s="9">
        <f>Table14[[#This Row],[HHV kJ/kg]]/1000</f>
        <v>25.474874177527706</v>
      </c>
    </row>
    <row r="167" spans="1:9" x14ac:dyDescent="0.2">
      <c r="A167" s="5" t="str">
        <f t="shared" si="46"/>
        <v>SWE_178_10</v>
      </c>
      <c r="B167">
        <f t="shared" si="47"/>
        <v>12125.622405647162</v>
      </c>
      <c r="C167">
        <f t="shared" si="48"/>
        <v>13558.942793570253</v>
      </c>
      <c r="D167">
        <f t="shared" si="49"/>
        <v>17806.982885899059</v>
      </c>
      <c r="E167">
        <f t="shared" si="50"/>
        <v>23894.243367347073</v>
      </c>
      <c r="F167">
        <f t="shared" si="51"/>
        <v>311.23021896899502</v>
      </c>
      <c r="G167">
        <f>20600</f>
        <v>20600</v>
      </c>
      <c r="H167">
        <f t="shared" si="52"/>
        <v>25565.170312493916</v>
      </c>
      <c r="I167" s="9">
        <f>Table14[[#This Row],[HHV kJ/kg]]/1000</f>
        <v>25.565170312493915</v>
      </c>
    </row>
    <row r="168" spans="1:9" x14ac:dyDescent="0.2">
      <c r="A168" s="5" t="str">
        <f t="shared" si="46"/>
        <v>SWE_178_11</v>
      </c>
      <c r="B168">
        <f t="shared" si="47"/>
        <v>12052.388509377815</v>
      </c>
      <c r="C168">
        <f t="shared" si="48"/>
        <v>13517.935494603753</v>
      </c>
      <c r="D168">
        <f t="shared" si="49"/>
        <v>17760.610534633699</v>
      </c>
      <c r="E168">
        <f t="shared" si="50"/>
        <v>23759.941863809072</v>
      </c>
      <c r="F168">
        <f t="shared" si="51"/>
        <v>313.2733057455967</v>
      </c>
      <c r="G168">
        <f>20600</f>
        <v>20600</v>
      </c>
      <c r="H168">
        <f t="shared" si="52"/>
        <v>25447.057649695031</v>
      </c>
      <c r="I168" s="9">
        <f>Table14[[#This Row],[HHV kJ/kg]]/1000</f>
        <v>25.447057649695029</v>
      </c>
    </row>
    <row r="169" spans="1:9" x14ac:dyDescent="0.2">
      <c r="A169" t="str">
        <f t="shared" si="46"/>
        <v>SWE_178_12</v>
      </c>
      <c r="B169">
        <f t="shared" si="47"/>
        <v>12355.36365282758</v>
      </c>
      <c r="C169">
        <f t="shared" si="48"/>
        <v>13686.789078583459</v>
      </c>
      <c r="D169">
        <f t="shared" si="49"/>
        <v>17621.493480837613</v>
      </c>
      <c r="E169">
        <f t="shared" si="50"/>
        <v>23868.295236429418</v>
      </c>
      <c r="F169">
        <f t="shared" si="51"/>
        <v>327.57491318180871</v>
      </c>
      <c r="G169">
        <f>20600</f>
        <v>20600</v>
      </c>
      <c r="H169">
        <f t="shared" si="52"/>
        <v>25842.951243017735</v>
      </c>
      <c r="I169" s="9">
        <f>Table14[[#This Row],[HHV kJ/kg]]/1000</f>
        <v>25.842951243017733</v>
      </c>
    </row>
    <row r="170" spans="1:9" x14ac:dyDescent="0.2">
      <c r="A170" t="str">
        <f t="shared" si="46"/>
        <v>SWE_178_13</v>
      </c>
      <c r="B170">
        <f t="shared" si="47"/>
        <v>12429.510933994718</v>
      </c>
      <c r="C170">
        <f t="shared" si="48"/>
        <v>13727.796377549957</v>
      </c>
      <c r="D170">
        <f t="shared" si="49"/>
        <v>17679.458919919314</v>
      </c>
      <c r="E170">
        <f t="shared" si="50"/>
        <v>24018.556943785909</v>
      </c>
      <c r="F170">
        <f t="shared" si="51"/>
        <v>337.1093181392834</v>
      </c>
      <c r="G170">
        <f>20600</f>
        <v>20600</v>
      </c>
      <c r="H170">
        <f t="shared" si="52"/>
        <v>25977.921898450637</v>
      </c>
      <c r="I170" s="9">
        <f>Table14[[#This Row],[HHV kJ/kg]]/1000</f>
        <v>25.977921898450639</v>
      </c>
    </row>
    <row r="171" spans="1:9" x14ac:dyDescent="0.2">
      <c r="A171" t="str">
        <f t="shared" si="46"/>
        <v>SWE_178_14</v>
      </c>
      <c r="B171">
        <f t="shared" si="47"/>
        <v>12433.879446722265</v>
      </c>
      <c r="C171">
        <f t="shared" si="48"/>
        <v>13730.20857160681</v>
      </c>
      <c r="D171">
        <f t="shared" si="49"/>
        <v>17459.190251408843</v>
      </c>
      <c r="E171">
        <f t="shared" si="50"/>
        <v>23723.477212254984</v>
      </c>
      <c r="F171">
        <f t="shared" si="51"/>
        <v>352.09195450102931</v>
      </c>
      <c r="G171">
        <f>20600</f>
        <v>20600</v>
      </c>
      <c r="H171">
        <f t="shared" si="52"/>
        <v>25920.049790462625</v>
      </c>
      <c r="I171" s="9">
        <f>Table14[[#This Row],[HHV kJ/kg]]/1000</f>
        <v>25.920049790462624</v>
      </c>
    </row>
    <row r="172" spans="1:9" x14ac:dyDescent="0.2">
      <c r="A172" t="str">
        <f t="shared" si="46"/>
        <v>SWE_178_15</v>
      </c>
      <c r="B172">
        <f t="shared" si="47"/>
        <v>12383.687891206917</v>
      </c>
      <c r="C172">
        <f t="shared" si="48"/>
        <v>13702.468339953004</v>
      </c>
      <c r="D172">
        <f t="shared" si="49"/>
        <v>17934.506851878807</v>
      </c>
      <c r="E172">
        <f t="shared" si="50"/>
        <v>24320.100184250092</v>
      </c>
      <c r="F172">
        <f t="shared" si="51"/>
        <v>301.01478508598638</v>
      </c>
      <c r="G172">
        <f>20600</f>
        <v>20600</v>
      </c>
      <c r="H172">
        <f t="shared" si="52"/>
        <v>25967.827668711187</v>
      </c>
      <c r="I172" s="9">
        <f>Table14[[#This Row],[HHV kJ/kg]]/1000</f>
        <v>25.967827668711188</v>
      </c>
    </row>
    <row r="173" spans="1:9" x14ac:dyDescent="0.2">
      <c r="A173" t="str">
        <f t="shared" si="46"/>
        <v>SWE_178_16</v>
      </c>
      <c r="B173">
        <f t="shared" si="47"/>
        <v>12728.318279129353</v>
      </c>
      <c r="C173">
        <f t="shared" si="48"/>
        <v>13891.825573415957</v>
      </c>
      <c r="D173">
        <f t="shared" si="49"/>
        <v>18015.658466593191</v>
      </c>
      <c r="E173">
        <f t="shared" si="50"/>
        <v>24767.751106419371</v>
      </c>
      <c r="F173">
        <f t="shared" si="51"/>
        <v>292.16140905404558</v>
      </c>
      <c r="G173">
        <f>20600</f>
        <v>20600</v>
      </c>
      <c r="H173">
        <f t="shared" si="52"/>
        <v>26480.74675459362</v>
      </c>
      <c r="I173" s="9">
        <f>Table14[[#This Row],[HHV kJ/kg]]/1000</f>
        <v>26.480746754593621</v>
      </c>
    </row>
    <row r="174" spans="1:9" x14ac:dyDescent="0.2">
      <c r="A174" t="str">
        <f t="shared" si="46"/>
        <v>SWE_178_17</v>
      </c>
      <c r="B174">
        <f t="shared" si="47"/>
        <v>12554.314330517034</v>
      </c>
      <c r="C174">
        <f t="shared" si="48"/>
        <v>13796.543908170266</v>
      </c>
      <c r="D174">
        <f t="shared" si="49"/>
        <v>17934.506851878803</v>
      </c>
      <c r="E174">
        <f t="shared" si="50"/>
        <v>24487.07208939677</v>
      </c>
      <c r="F174">
        <f t="shared" si="51"/>
        <v>305.78198756472375</v>
      </c>
      <c r="G174">
        <f>20600</f>
        <v>20600</v>
      </c>
      <c r="H174">
        <f t="shared" si="52"/>
        <v>26216.117647429455</v>
      </c>
      <c r="I174" s="9">
        <f>Table14[[#This Row],[HHV kJ/kg]]/1000</f>
        <v>26.216117647429456</v>
      </c>
    </row>
    <row r="175" spans="1:9" x14ac:dyDescent="0.2">
      <c r="A175" t="str">
        <f t="shared" si="46"/>
        <v>SWE_178_18</v>
      </c>
      <c r="B175">
        <f t="shared" si="47"/>
        <v>12571.880487467331</v>
      </c>
      <c r="C175">
        <f t="shared" si="48"/>
        <v>13806.192684397678</v>
      </c>
      <c r="D175">
        <f t="shared" si="49"/>
        <v>17888.134500613443</v>
      </c>
      <c r="E175">
        <f t="shared" si="50"/>
        <v>24440.838143672536</v>
      </c>
      <c r="F175">
        <f t="shared" si="51"/>
        <v>315.31639252219838</v>
      </c>
      <c r="G175">
        <f>20600</f>
        <v>20600</v>
      </c>
      <c r="H175">
        <f t="shared" si="52"/>
        <v>26233.707838650946</v>
      </c>
      <c r="I175" s="9">
        <f>Table14[[#This Row],[HHV kJ/kg]]/1000</f>
        <v>26.233707838650947</v>
      </c>
    </row>
    <row r="176" spans="1:9" x14ac:dyDescent="0.2">
      <c r="A176" t="str">
        <f t="shared" si="46"/>
        <v>SWE_178_19</v>
      </c>
      <c r="B176">
        <f t="shared" si="47"/>
        <v>12600.451685166725</v>
      </c>
      <c r="C176">
        <f t="shared" si="48"/>
        <v>13821.871945767221</v>
      </c>
      <c r="D176">
        <f t="shared" si="49"/>
        <v>17969.286115327832</v>
      </c>
      <c r="E176">
        <f t="shared" si="50"/>
        <v>24579.599482212016</v>
      </c>
      <c r="F176">
        <f t="shared" si="51"/>
        <v>315.31639252219838</v>
      </c>
      <c r="G176">
        <f>20600</f>
        <v>20600</v>
      </c>
      <c r="H176">
        <f t="shared" si="52"/>
        <v>26304.209498805889</v>
      </c>
      <c r="I176" s="9">
        <f>Table14[[#This Row],[HHV kJ/kg]]/1000</f>
        <v>26.304209498805889</v>
      </c>
    </row>
    <row r="177" spans="1:9" x14ac:dyDescent="0.2">
      <c r="A177" t="str">
        <f t="shared" si="46"/>
        <v>SWE_178_20</v>
      </c>
      <c r="B177">
        <f t="shared" si="47"/>
        <v>13079.918887581156</v>
      </c>
      <c r="C177">
        <f t="shared" si="48"/>
        <v>14082.388903907336</v>
      </c>
      <c r="D177">
        <f t="shared" si="49"/>
        <v>18618.499033042899</v>
      </c>
      <c r="E177">
        <f t="shared" si="50"/>
        <v>25947.654906728465</v>
      </c>
      <c r="F177">
        <f t="shared" si="51"/>
        <v>284.67009087317263</v>
      </c>
      <c r="G177">
        <f>20600</f>
        <v>20600</v>
      </c>
      <c r="H177">
        <f t="shared" si="52"/>
        <v>27211.355948232558</v>
      </c>
      <c r="I177" s="9">
        <f>Table14[[#This Row],[HHV kJ/kg]]/1000</f>
        <v>27.211355948232558</v>
      </c>
    </row>
    <row r="178" spans="1:9" x14ac:dyDescent="0.2">
      <c r="A178" t="str">
        <f t="shared" si="46"/>
        <v>SWE_178_21</v>
      </c>
      <c r="B178">
        <f t="shared" si="47"/>
        <v>12821.314293855366</v>
      </c>
      <c r="C178">
        <f t="shared" si="48"/>
        <v>13942.481648609866</v>
      </c>
      <c r="D178">
        <f t="shared" si="49"/>
        <v>18189.554783838299</v>
      </c>
      <c r="E178">
        <f t="shared" si="50"/>
        <v>25098.008599479137</v>
      </c>
      <c r="F178">
        <f t="shared" si="51"/>
        <v>316.67845037326623</v>
      </c>
      <c r="G178">
        <f>20600</f>
        <v>20600</v>
      </c>
      <c r="H178">
        <f t="shared" si="52"/>
        <v>26703.964911259605</v>
      </c>
      <c r="I178" s="9">
        <f>Table14[[#This Row],[HHV kJ/kg]]/1000</f>
        <v>26.703964911259604</v>
      </c>
    </row>
    <row r="179" spans="1:9" x14ac:dyDescent="0.2">
      <c r="A179" t="str">
        <f t="shared" si="46"/>
        <v>SWE_178_22</v>
      </c>
      <c r="B179">
        <f t="shared" si="47"/>
        <v>12490.739959260785</v>
      </c>
      <c r="C179">
        <f t="shared" si="48"/>
        <v>13761.567094345899</v>
      </c>
      <c r="D179">
        <f t="shared" si="49"/>
        <v>17667.865832102972</v>
      </c>
      <c r="E179">
        <f t="shared" si="50"/>
        <v>24061.854566248236</v>
      </c>
      <c r="F179">
        <f t="shared" si="51"/>
        <v>336.42828921374951</v>
      </c>
      <c r="G179">
        <f>20600</f>
        <v>20600</v>
      </c>
      <c r="H179">
        <f t="shared" si="52"/>
        <v>26059.589888273898</v>
      </c>
      <c r="I179" s="9">
        <f>Table14[[#This Row],[HHV kJ/kg]]/1000</f>
        <v>26.059589888273898</v>
      </c>
    </row>
    <row r="180" spans="1:9" x14ac:dyDescent="0.2">
      <c r="A180" t="str">
        <f t="shared" si="46"/>
        <v>SWE_178_23</v>
      </c>
      <c r="B180">
        <f t="shared" si="47"/>
        <v>4563.9127173893175</v>
      </c>
      <c r="C180">
        <f t="shared" si="48"/>
        <v>8318.4512050572885</v>
      </c>
      <c r="D180">
        <f t="shared" si="49"/>
        <v>18792.395350288007</v>
      </c>
      <c r="E180">
        <f t="shared" si="50"/>
        <v>15470.406556117272</v>
      </c>
      <c r="F180">
        <f t="shared" si="51"/>
        <v>315.31639252219838</v>
      </c>
      <c r="G180">
        <f>20600</f>
        <v>20600</v>
      </c>
      <c r="H180">
        <f t="shared" si="52"/>
        <v>13838.789110683492</v>
      </c>
      <c r="I180" s="9">
        <f>Table14[[#This Row],[HHV kJ/kg]]/1000</f>
        <v>13.838789110683493</v>
      </c>
    </row>
    <row r="181" spans="1:9" x14ac:dyDescent="0.2">
      <c r="A181" t="str">
        <f t="shared" si="46"/>
        <v>SWE_178_24</v>
      </c>
      <c r="B181">
        <f t="shared" si="47"/>
        <v>12666.508985810569</v>
      </c>
      <c r="C181">
        <f t="shared" si="48"/>
        <v>13858.054856620016</v>
      </c>
      <c r="D181">
        <f t="shared" si="49"/>
        <v>17922.913764062465</v>
      </c>
      <c r="E181">
        <f t="shared" si="50"/>
        <v>24580.346708678288</v>
      </c>
      <c r="F181">
        <f t="shared" si="51"/>
        <v>333.70417351161387</v>
      </c>
      <c r="G181">
        <f>20600</f>
        <v>20600</v>
      </c>
      <c r="H181">
        <f t="shared" si="52"/>
        <v>26399.591247317989</v>
      </c>
      <c r="I181" s="9">
        <f>Table14[[#This Row],[HHV kJ/kg]]/1000</f>
        <v>26.399591247317989</v>
      </c>
    </row>
    <row r="182" spans="1:9" x14ac:dyDescent="0.2">
      <c r="A182" t="str">
        <f t="shared" si="46"/>
        <v>SWE_178_25</v>
      </c>
      <c r="B182">
        <f t="shared" si="47"/>
        <v>12506.070721806293</v>
      </c>
      <c r="C182">
        <f t="shared" si="48"/>
        <v>13770.009773544885</v>
      </c>
      <c r="D182">
        <f t="shared" si="49"/>
        <v>17899.727588429785</v>
      </c>
      <c r="E182">
        <f t="shared" si="50"/>
        <v>24392.582535231217</v>
      </c>
      <c r="F182">
        <f t="shared" si="51"/>
        <v>321.44565285200355</v>
      </c>
      <c r="G182">
        <f>20600</f>
        <v>20600</v>
      </c>
      <c r="H182">
        <f t="shared" si="52"/>
        <v>26150.361547914843</v>
      </c>
      <c r="I182" s="9">
        <f>Table14[[#This Row],[HHV kJ/kg]]/1000</f>
        <v>26.150361547914844</v>
      </c>
    </row>
    <row r="183" spans="1:9" x14ac:dyDescent="0.2">
      <c r="A183" t="str">
        <f t="shared" si="46"/>
        <v>SWE_178_26</v>
      </c>
      <c r="B183">
        <f t="shared" si="47"/>
        <v>12659.895484299053</v>
      </c>
      <c r="C183">
        <f t="shared" si="48"/>
        <v>13854.436565534737</v>
      </c>
      <c r="D183">
        <f t="shared" si="49"/>
        <v>17841.762149348084</v>
      </c>
      <c r="E183">
        <f t="shared" si="50"/>
        <v>24462.66269149855</v>
      </c>
      <c r="F183">
        <f t="shared" si="51"/>
        <v>333.02314458607998</v>
      </c>
      <c r="G183">
        <f>20600</f>
        <v>20600</v>
      </c>
      <c r="H183">
        <f t="shared" si="52"/>
        <v>26359.382605500861</v>
      </c>
      <c r="I183" s="9">
        <f>Table14[[#This Row],[HHV kJ/kg]]/1000</f>
        <v>26.359382605500862</v>
      </c>
    </row>
    <row r="184" spans="1:9" x14ac:dyDescent="0.2">
      <c r="A184" t="str">
        <f t="shared" si="46"/>
        <v>SWE_178_27</v>
      </c>
      <c r="B184">
        <f t="shared" si="47"/>
        <v>12361.897137216747</v>
      </c>
      <c r="C184">
        <f t="shared" si="48"/>
        <v>13690.407369668737</v>
      </c>
      <c r="D184">
        <f t="shared" si="49"/>
        <v>17691.052007735656</v>
      </c>
      <c r="E184">
        <f t="shared" si="50"/>
        <v>23968.847011240789</v>
      </c>
      <c r="F184">
        <f t="shared" si="51"/>
        <v>331.66108673501213</v>
      </c>
      <c r="G184">
        <f>20600</f>
        <v>20600</v>
      </c>
      <c r="H184">
        <f t="shared" si="52"/>
        <v>25880.945857788152</v>
      </c>
      <c r="I184" s="9">
        <f>Table14[[#This Row],[HHV kJ/kg]]/1000</f>
        <v>25.880945857788152</v>
      </c>
    </row>
    <row r="185" spans="1:9" x14ac:dyDescent="0.2">
      <c r="A185" t="str">
        <f t="shared" si="46"/>
        <v>SWE_178_28</v>
      </c>
      <c r="B185">
        <f t="shared" si="47"/>
        <v>12715.060765980526</v>
      </c>
      <c r="C185">
        <f t="shared" si="48"/>
        <v>13884.588991245399</v>
      </c>
      <c r="D185">
        <f t="shared" si="49"/>
        <v>17922.913764062465</v>
      </c>
      <c r="E185">
        <f t="shared" si="50"/>
        <v>24627.410906031717</v>
      </c>
      <c r="F185">
        <f t="shared" si="51"/>
        <v>322.1266817775375</v>
      </c>
      <c r="G185">
        <f>20600</f>
        <v>20600</v>
      </c>
      <c r="H185">
        <f t="shared" si="52"/>
        <v>26457.095598481916</v>
      </c>
      <c r="I185" s="9">
        <f>Table14[[#This Row],[HHV kJ/kg]]/1000</f>
        <v>26.457095598481917</v>
      </c>
    </row>
    <row r="186" spans="1:9" x14ac:dyDescent="0.2">
      <c r="A186" t="str">
        <f t="shared" si="46"/>
        <v>SWE_178_29</v>
      </c>
      <c r="B186">
        <f t="shared" si="47"/>
        <v>12129.937189851311</v>
      </c>
      <c r="C186">
        <f t="shared" si="48"/>
        <v>13561.354987627106</v>
      </c>
      <c r="D186">
        <f t="shared" si="49"/>
        <v>17134.583792551308</v>
      </c>
      <c r="E186">
        <f t="shared" si="50"/>
        <v>22996.077154887796</v>
      </c>
      <c r="F186">
        <f t="shared" si="51"/>
        <v>340.51446276695293</v>
      </c>
      <c r="G186">
        <f>20600</f>
        <v>20600</v>
      </c>
      <c r="H186">
        <f t="shared" si="52"/>
        <v>25370.590027327646</v>
      </c>
      <c r="I186" s="9">
        <f>Table14[[#This Row],[HHV kJ/kg]]/1000</f>
        <v>25.370590027327644</v>
      </c>
    </row>
    <row r="187" spans="1:9" x14ac:dyDescent="0.2">
      <c r="A187" t="str">
        <f t="shared" si="46"/>
        <v>SWE_178_30</v>
      </c>
      <c r="B187">
        <f t="shared" si="47"/>
        <v>12255.399816166979</v>
      </c>
      <c r="C187">
        <f t="shared" si="48"/>
        <v>13631.308615275841</v>
      </c>
      <c r="D187">
        <f t="shared" si="49"/>
        <v>17227.328495082034</v>
      </c>
      <c r="E187">
        <f t="shared" si="50"/>
        <v>23239.81135816409</v>
      </c>
      <c r="F187">
        <f t="shared" si="51"/>
        <v>337.7903470648173</v>
      </c>
      <c r="G187">
        <f>20600</f>
        <v>20600</v>
      </c>
      <c r="H187">
        <f t="shared" si="52"/>
        <v>25574.364411038008</v>
      </c>
      <c r="I187" s="9">
        <f>Table14[[#This Row],[HHV kJ/kg]]/1000</f>
        <v>25.574364411038008</v>
      </c>
    </row>
    <row r="188" spans="1:9" x14ac:dyDescent="0.2">
      <c r="A188" t="str">
        <f t="shared" si="46"/>
        <v>SWE_178_31</v>
      </c>
      <c r="B188">
        <f t="shared" si="47"/>
        <v>12194.751058953627</v>
      </c>
      <c r="C188">
        <f t="shared" si="48"/>
        <v>13597.537898479901</v>
      </c>
      <c r="D188">
        <f t="shared" si="49"/>
        <v>16856.349684959136</v>
      </c>
      <c r="E188">
        <f t="shared" si="50"/>
        <v>22683.022475584879</v>
      </c>
      <c r="F188">
        <f t="shared" si="51"/>
        <v>332.34211566054603</v>
      </c>
      <c r="G188">
        <f>20600</f>
        <v>20600</v>
      </c>
      <c r="H188">
        <f t="shared" si="52"/>
        <v>25356.228066760017</v>
      </c>
      <c r="I188" s="9">
        <f>Table14[[#This Row],[HHV kJ/kg]]/1000</f>
        <v>25.356228066760018</v>
      </c>
    </row>
    <row r="189" spans="1:9" x14ac:dyDescent="0.2">
      <c r="A189" t="str">
        <f t="shared" si="46"/>
        <v>SWE_178_32</v>
      </c>
      <c r="B189">
        <f t="shared" si="47"/>
        <v>12259.737626881155</v>
      </c>
      <c r="C189">
        <f t="shared" si="48"/>
        <v>13633.720809332695</v>
      </c>
      <c r="D189">
        <f t="shared" si="49"/>
        <v>17134.583792551308</v>
      </c>
      <c r="E189">
        <f t="shared" si="50"/>
        <v>23118.788345682289</v>
      </c>
      <c r="F189">
        <f t="shared" si="51"/>
        <v>339.15240491588514</v>
      </c>
      <c r="G189">
        <f>20600</f>
        <v>20600</v>
      </c>
      <c r="H189">
        <f t="shared" si="52"/>
        <v>25549.373775595326</v>
      </c>
      <c r="I189" s="9">
        <f>Table14[[#This Row],[HHV kJ/kg]]/1000</f>
        <v>25.549373775595328</v>
      </c>
    </row>
    <row r="190" spans="1:9" x14ac:dyDescent="0.2">
      <c r="A190" t="str">
        <f t="shared" si="46"/>
        <v>SWE_178_33</v>
      </c>
      <c r="B190">
        <f t="shared" si="47"/>
        <v>12359.719117199444</v>
      </c>
      <c r="C190">
        <f t="shared" si="48"/>
        <v>13689.201272640312</v>
      </c>
      <c r="D190">
        <f t="shared" si="49"/>
        <v>17041.839090020585</v>
      </c>
      <c r="E190">
        <f t="shared" si="50"/>
        <v>23087.222178740434</v>
      </c>
      <c r="F190">
        <f t="shared" si="51"/>
        <v>339.15240491588514</v>
      </c>
      <c r="G190">
        <f>20600</f>
        <v>20600</v>
      </c>
      <c r="H190">
        <f t="shared" si="52"/>
        <v>25655.053338194863</v>
      </c>
      <c r="I190" s="9">
        <f>Table14[[#This Row],[HHV kJ/kg]]/1000</f>
        <v>25.655053338194861</v>
      </c>
    </row>
    <row r="191" spans="1:9" x14ac:dyDescent="0.2">
      <c r="A191" t="str">
        <f t="shared" si="46"/>
        <v>SWE_178_34</v>
      </c>
      <c r="B191">
        <f t="shared" si="47"/>
        <v>12164.483095296519</v>
      </c>
      <c r="C191">
        <f t="shared" si="48"/>
        <v>13580.65254008193</v>
      </c>
      <c r="D191">
        <f t="shared" si="49"/>
        <v>16902.722036224499</v>
      </c>
      <c r="E191">
        <f t="shared" si="50"/>
        <v>22717.179027609815</v>
      </c>
      <c r="F191">
        <f t="shared" si="51"/>
        <v>335.06623136268172</v>
      </c>
      <c r="G191">
        <f>20600</f>
        <v>20600</v>
      </c>
      <c r="H191">
        <f t="shared" si="52"/>
        <v>25333.353777962588</v>
      </c>
      <c r="I191" s="9">
        <f>Table14[[#This Row],[HHV kJ/kg]]/1000</f>
        <v>25.333353777962589</v>
      </c>
    </row>
    <row r="192" spans="1:9" x14ac:dyDescent="0.2">
      <c r="A192" t="str">
        <f t="shared" ref="A192:A223" si="53">A113</f>
        <v>SWE_178_35</v>
      </c>
      <c r="B192">
        <f t="shared" ref="B192:B223" si="54">3.55*I113^2</f>
        <v>12364.075349121638</v>
      </c>
      <c r="C192">
        <f t="shared" ref="C192:C223" si="55">232*I113</f>
        <v>13691.613466697165</v>
      </c>
      <c r="D192">
        <f t="shared" ref="D192:D223" si="56">2230*J113</f>
        <v>16879.535860591819</v>
      </c>
      <c r="E192">
        <f t="shared" ref="E192:E223" si="57">51.2*I113*J113</f>
        <v>22871.37336018325</v>
      </c>
      <c r="F192">
        <f t="shared" ref="F192:F223" si="58">131*K113</f>
        <v>347.32475202229199</v>
      </c>
      <c r="G192">
        <f>20600</f>
        <v>20600</v>
      </c>
      <c r="H192">
        <f t="shared" si="52"/>
        <v>25611.624134038197</v>
      </c>
      <c r="I192" s="9">
        <f>Table14[[#This Row],[HHV kJ/kg]]/1000</f>
        <v>25.611624134038198</v>
      </c>
    </row>
    <row r="193" spans="1:9" x14ac:dyDescent="0.2">
      <c r="A193" t="str">
        <f t="shared" si="53"/>
        <v>SWE_178_36</v>
      </c>
      <c r="B193">
        <f t="shared" si="54"/>
        <v>12311.851224377329</v>
      </c>
      <c r="C193">
        <f t="shared" si="55"/>
        <v>13662.667138014929</v>
      </c>
      <c r="D193">
        <f t="shared" si="56"/>
        <v>17111.397616918628</v>
      </c>
      <c r="E193">
        <f t="shared" si="57"/>
        <v>23136.52252048182</v>
      </c>
      <c r="F193">
        <f t="shared" si="58"/>
        <v>318.72153714986791</v>
      </c>
      <c r="G193">
        <f>20600</f>
        <v>20600</v>
      </c>
      <c r="H193">
        <f t="shared" si="52"/>
        <v>25593.030527075462</v>
      </c>
      <c r="I193" s="9">
        <f>Table14[[#This Row],[HHV kJ/kg]]/1000</f>
        <v>25.593030527075463</v>
      </c>
    </row>
    <row r="194" spans="1:9" x14ac:dyDescent="0.2">
      <c r="A194" t="str">
        <f t="shared" si="53"/>
        <v>SWE_178_37</v>
      </c>
      <c r="B194">
        <f t="shared" si="54"/>
        <v>12233.72227585112</v>
      </c>
      <c r="C194">
        <f t="shared" si="55"/>
        <v>13619.247644991578</v>
      </c>
      <c r="D194">
        <f t="shared" si="56"/>
        <v>16972.280563122542</v>
      </c>
      <c r="E194">
        <f t="shared" si="57"/>
        <v>22875.491408264039</v>
      </c>
      <c r="F194">
        <f t="shared" si="58"/>
        <v>341.87652061802066</v>
      </c>
      <c r="G194">
        <f>20600</f>
        <v>20600</v>
      </c>
      <c r="H194">
        <f t="shared" si="52"/>
        <v>25459.561996619061</v>
      </c>
      <c r="I194" s="9">
        <f>Table14[[#This Row],[HHV kJ/kg]]/1000</f>
        <v>25.459561996619062</v>
      </c>
    </row>
    <row r="195" spans="1:9" x14ac:dyDescent="0.2">
      <c r="A195" t="str">
        <f t="shared" si="53"/>
        <v>SWE_178_38</v>
      </c>
      <c r="B195">
        <f t="shared" si="54"/>
        <v>12173.127247161165</v>
      </c>
      <c r="C195">
        <f t="shared" si="55"/>
        <v>13585.476928195636</v>
      </c>
      <c r="D195">
        <f t="shared" si="56"/>
        <v>16624.487928632327</v>
      </c>
      <c r="E195">
        <f t="shared" si="57"/>
        <v>22351.170899397071</v>
      </c>
      <c r="F195">
        <f t="shared" si="58"/>
        <v>352.7729834265632</v>
      </c>
      <c r="G195">
        <f>20600</f>
        <v>20600</v>
      </c>
      <c r="H195">
        <f t="shared" si="52"/>
        <v>25267.106273156835</v>
      </c>
      <c r="I195" s="9">
        <f>Table14[[#This Row],[HHV kJ/kg]]/1000</f>
        <v>25.267106273156834</v>
      </c>
    </row>
    <row r="196" spans="1:9" x14ac:dyDescent="0.2">
      <c r="A196" t="str">
        <f t="shared" si="53"/>
        <v>SWE_178_39</v>
      </c>
      <c r="B196">
        <f t="shared" si="54"/>
        <v>12216.394059504448</v>
      </c>
      <c r="C196">
        <f t="shared" si="55"/>
        <v>13609.598868764166</v>
      </c>
      <c r="D196">
        <f t="shared" si="56"/>
        <v>16647.674104265006</v>
      </c>
      <c r="E196">
        <f t="shared" si="57"/>
        <v>22422.085458551741</v>
      </c>
      <c r="F196">
        <f t="shared" si="58"/>
        <v>351.41092557549541</v>
      </c>
      <c r="G196">
        <f>20600</f>
        <v>20600</v>
      </c>
      <c r="H196">
        <f t="shared" si="52"/>
        <v>25332.617470602512</v>
      </c>
      <c r="I196" s="9">
        <f>Table14[[#This Row],[HHV kJ/kg]]/1000</f>
        <v>25.332617470602511</v>
      </c>
    </row>
    <row r="197" spans="1:9" x14ac:dyDescent="0.2">
      <c r="A197" t="str">
        <f t="shared" si="53"/>
        <v>SWE_178_40</v>
      </c>
      <c r="B197">
        <f t="shared" si="54"/>
        <v>12329.246985153419</v>
      </c>
      <c r="C197">
        <f t="shared" si="55"/>
        <v>13672.315914242343</v>
      </c>
      <c r="D197">
        <f t="shared" si="56"/>
        <v>16879.535860591819</v>
      </c>
      <c r="E197">
        <f t="shared" si="57"/>
        <v>22839.137456927179</v>
      </c>
      <c r="F197">
        <f t="shared" si="58"/>
        <v>345.96269417122414</v>
      </c>
      <c r="G197">
        <f>20600</f>
        <v>20600</v>
      </c>
      <c r="H197">
        <f t="shared" si="52"/>
        <v>25562.495361417659</v>
      </c>
      <c r="I197" s="9">
        <f>Table14[[#This Row],[HHV kJ/kg]]/1000</f>
        <v>25.56249536141766</v>
      </c>
    </row>
    <row r="198" spans="1:9" x14ac:dyDescent="0.2">
      <c r="A198" t="str">
        <f t="shared" si="53"/>
        <v>SWE_178_41</v>
      </c>
      <c r="B198">
        <f t="shared" si="54"/>
        <v>12138.56906091061</v>
      </c>
      <c r="C198">
        <f t="shared" si="55"/>
        <v>13566.179375740814</v>
      </c>
      <c r="D198">
        <f t="shared" si="56"/>
        <v>16809.977333693776</v>
      </c>
      <c r="E198">
        <f t="shared" si="57"/>
        <v>22568.453285767329</v>
      </c>
      <c r="F198">
        <f t="shared" si="58"/>
        <v>333.70417351161387</v>
      </c>
      <c r="G198">
        <f>20600</f>
        <v>20600</v>
      </c>
      <c r="H198">
        <f t="shared" si="52"/>
        <v>25264.569810754965</v>
      </c>
      <c r="I198" s="9">
        <f>Table14[[#This Row],[HHV kJ/kg]]/1000</f>
        <v>25.264569810754963</v>
      </c>
    </row>
    <row r="199" spans="1:9" x14ac:dyDescent="0.2">
      <c r="A199" t="str">
        <f t="shared" si="53"/>
        <v>SWE_178_42</v>
      </c>
      <c r="B199">
        <f t="shared" si="54"/>
        <v>12065.296019574211</v>
      </c>
      <c r="C199">
        <f t="shared" si="55"/>
        <v>13525.172076774312</v>
      </c>
      <c r="D199">
        <f t="shared" si="56"/>
        <v>16809.977333693776</v>
      </c>
      <c r="E199">
        <f t="shared" si="57"/>
        <v>22500.234276902098</v>
      </c>
      <c r="F199">
        <f t="shared" si="58"/>
        <v>343.23857846908857</v>
      </c>
      <c r="G199">
        <f>20600</f>
        <v>20600</v>
      </c>
      <c r="H199">
        <f t="shared" si="52"/>
        <v>25173.61946447731</v>
      </c>
      <c r="I199" s="9">
        <f>Table14[[#This Row],[HHV kJ/kg]]/1000</f>
        <v>25.173619464477309</v>
      </c>
    </row>
    <row r="200" spans="1:9" x14ac:dyDescent="0.2">
      <c r="A200" t="str">
        <f t="shared" si="53"/>
        <v>SWE_178_43</v>
      </c>
      <c r="B200">
        <f t="shared" si="54"/>
        <v>12355.36365282758</v>
      </c>
      <c r="C200">
        <f t="shared" si="55"/>
        <v>13686.789078583459</v>
      </c>
      <c r="D200">
        <f t="shared" si="56"/>
        <v>17157.769968183991</v>
      </c>
      <c r="E200">
        <f t="shared" si="57"/>
        <v>23240.182203891804</v>
      </c>
      <c r="F200">
        <f t="shared" si="58"/>
        <v>335.06623136268172</v>
      </c>
      <c r="G200">
        <f>20600</f>
        <v>20600</v>
      </c>
      <c r="H200">
        <f t="shared" si="52"/>
        <v>25686.053041314615</v>
      </c>
      <c r="I200" s="9">
        <f>Table14[[#This Row],[HHV kJ/kg]]/1000</f>
        <v>25.686053041314615</v>
      </c>
    </row>
    <row r="201" spans="1:9" x14ac:dyDescent="0.2">
      <c r="A201" t="str">
        <f t="shared" si="53"/>
        <v>SWE_178_44</v>
      </c>
      <c r="B201">
        <f t="shared" si="54"/>
        <v>12181.774469227148</v>
      </c>
      <c r="C201">
        <f t="shared" si="55"/>
        <v>13590.301316309342</v>
      </c>
      <c r="D201">
        <f t="shared" si="56"/>
        <v>16786.791158061096</v>
      </c>
      <c r="E201">
        <f t="shared" si="57"/>
        <v>22577.397863319151</v>
      </c>
      <c r="F201">
        <f t="shared" si="58"/>
        <v>344.6006363201563</v>
      </c>
      <c r="G201">
        <f>20600</f>
        <v>20600</v>
      </c>
      <c r="H201">
        <f t="shared" si="52"/>
        <v>25326.680494496017</v>
      </c>
      <c r="I201" s="9">
        <f>Table14[[#This Row],[HHV kJ/kg]]/1000</f>
        <v>25.326680494496017</v>
      </c>
    </row>
    <row r="202" spans="1:9" x14ac:dyDescent="0.2">
      <c r="A202" t="str">
        <f t="shared" si="53"/>
        <v>SWE_178_45</v>
      </c>
      <c r="B202">
        <f t="shared" si="54"/>
        <v>12212.063924293612</v>
      </c>
      <c r="C202">
        <f t="shared" si="55"/>
        <v>13607.186674707313</v>
      </c>
      <c r="D202">
        <f t="shared" si="56"/>
        <v>16740.418806795729</v>
      </c>
      <c r="E202">
        <f t="shared" si="57"/>
        <v>22543.00330582718</v>
      </c>
      <c r="F202">
        <f t="shared" si="58"/>
        <v>354.13504127763105</v>
      </c>
      <c r="G202">
        <f>20600</f>
        <v>20600</v>
      </c>
      <c r="H202">
        <f t="shared" si="52"/>
        <v>25361.596789895382</v>
      </c>
      <c r="I202" s="9">
        <f>Table14[[#This Row],[HHV kJ/kg]]/1000</f>
        <v>25.361596789895383</v>
      </c>
    </row>
    <row r="203" spans="1:9" x14ac:dyDescent="0.2">
      <c r="A203" t="str">
        <f t="shared" si="53"/>
        <v>SWE_178_46</v>
      </c>
      <c r="B203">
        <f t="shared" si="54"/>
        <v>12264.076205145664</v>
      </c>
      <c r="C203">
        <f t="shared" si="55"/>
        <v>13636.133003389548</v>
      </c>
      <c r="D203">
        <f t="shared" si="56"/>
        <v>16902.722036224499</v>
      </c>
      <c r="E203">
        <f t="shared" si="57"/>
        <v>22809.984554720835</v>
      </c>
      <c r="F203">
        <f t="shared" si="58"/>
        <v>344.6006363201563</v>
      </c>
      <c r="G203">
        <f>20600</f>
        <v>20600</v>
      </c>
      <c r="H203">
        <f t="shared" si="52"/>
        <v>25479.806356572608</v>
      </c>
      <c r="I203" s="9">
        <f>Table14[[#This Row],[HHV kJ/kg]]/1000</f>
        <v>25.47980635657261</v>
      </c>
    </row>
    <row r="204" spans="1:9" x14ac:dyDescent="0.2">
      <c r="A204" t="str">
        <f t="shared" si="53"/>
        <v>SWE_178_49</v>
      </c>
      <c r="B204">
        <f t="shared" si="54"/>
        <v>12082.516778874084</v>
      </c>
      <c r="C204">
        <f t="shared" si="55"/>
        <v>13534.820853001725</v>
      </c>
      <c r="D204">
        <f t="shared" si="56"/>
        <v>17041.839090020585</v>
      </c>
      <c r="E204">
        <f t="shared" si="57"/>
        <v>22826.855267826006</v>
      </c>
      <c r="F204">
        <f t="shared" si="58"/>
        <v>322.80771070307139</v>
      </c>
      <c r="G204">
        <f>20600</f>
        <v>20600</v>
      </c>
      <c r="H204">
        <f t="shared" si="52"/>
        <v>25255.519814380852</v>
      </c>
      <c r="I204" s="9">
        <f>Table14[[#This Row],[HHV kJ/kg]]/1000</f>
        <v>25.25551981438085</v>
      </c>
    </row>
    <row r="205" spans="1:9" x14ac:dyDescent="0.2">
      <c r="A205" t="str">
        <f t="shared" si="53"/>
        <v>SWE_178_50</v>
      </c>
      <c r="B205">
        <f t="shared" si="54"/>
        <v>12104.059997881446</v>
      </c>
      <c r="C205">
        <f t="shared" si="55"/>
        <v>13546.881823285989</v>
      </c>
      <c r="D205">
        <f t="shared" si="56"/>
        <v>17041.839090020585</v>
      </c>
      <c r="E205">
        <f t="shared" si="57"/>
        <v>22847.196432741192</v>
      </c>
      <c r="F205">
        <f t="shared" si="58"/>
        <v>322.80771070307139</v>
      </c>
      <c r="G205">
        <f>20600</f>
        <v>20600</v>
      </c>
      <c r="H205">
        <f t="shared" si="52"/>
        <v>25285.343228019134</v>
      </c>
      <c r="I205" s="9">
        <f>Table14[[#This Row],[HHV kJ/kg]]/1000</f>
        <v>25.285343228019133</v>
      </c>
    </row>
    <row r="206" spans="1:9" x14ac:dyDescent="0.2">
      <c r="A206" t="str">
        <f t="shared" si="53"/>
        <v>SWE_178_51</v>
      </c>
      <c r="B206">
        <f t="shared" si="54"/>
        <v>12005.120073366774</v>
      </c>
      <c r="C206">
        <f t="shared" si="55"/>
        <v>13491.401359978372</v>
      </c>
      <c r="D206">
        <f t="shared" si="56"/>
        <v>17969.286115327832</v>
      </c>
      <c r="E206">
        <f t="shared" si="57"/>
        <v>23991.919704016022</v>
      </c>
      <c r="F206">
        <f t="shared" si="58"/>
        <v>330.98005780947824</v>
      </c>
      <c r="G206">
        <f>20600</f>
        <v>20600</v>
      </c>
      <c r="H206">
        <f t="shared" si="52"/>
        <v>25467.332359886073</v>
      </c>
      <c r="I206" s="9">
        <f>Table14[[#This Row],[HHV kJ/kg]]/1000</f>
        <v>25.467332359886072</v>
      </c>
    </row>
    <row r="207" spans="1:9" x14ac:dyDescent="0.2">
      <c r="A207" t="str">
        <f t="shared" si="53"/>
        <v>SWE_178_52</v>
      </c>
      <c r="B207">
        <f t="shared" si="54"/>
        <v>12035.189241487302</v>
      </c>
      <c r="C207">
        <f t="shared" si="55"/>
        <v>13508.286718376343</v>
      </c>
      <c r="D207">
        <f t="shared" si="56"/>
        <v>17551.93495393957</v>
      </c>
      <c r="E207">
        <f t="shared" si="57"/>
        <v>23464.018043121807</v>
      </c>
      <c r="F207">
        <f t="shared" si="58"/>
        <v>322.80771070307139</v>
      </c>
      <c r="G207">
        <f>20600</f>
        <v>20600</v>
      </c>
      <c r="H207">
        <f t="shared" si="52"/>
        <v>25361.793322996265</v>
      </c>
      <c r="I207" s="9">
        <f>Table14[[#This Row],[HHV kJ/kg]]/1000</f>
        <v>25.361793322996267</v>
      </c>
    </row>
    <row r="208" spans="1:9" x14ac:dyDescent="0.2">
      <c r="A208" t="str">
        <f t="shared" si="53"/>
        <v>SWE_178_53</v>
      </c>
      <c r="B208">
        <f t="shared" si="54"/>
        <v>12065.296019574211</v>
      </c>
      <c r="C208">
        <f t="shared" si="55"/>
        <v>13525.172076774312</v>
      </c>
      <c r="D208">
        <f t="shared" si="56"/>
        <v>17992.472290960512</v>
      </c>
      <c r="E208">
        <f t="shared" si="57"/>
        <v>24083.009377760038</v>
      </c>
      <c r="F208">
        <f t="shared" si="58"/>
        <v>322.80771070307139</v>
      </c>
      <c r="G208">
        <f>20600</f>
        <v>20600</v>
      </c>
      <c r="H208">
        <f t="shared" si="52"/>
        <v>25553.468740302495</v>
      </c>
      <c r="I208" s="9">
        <f>Table14[[#This Row],[HHV kJ/kg]]/1000</f>
        <v>25.553468740302495</v>
      </c>
    </row>
    <row r="209" spans="1:9" x14ac:dyDescent="0.2">
      <c r="A209" t="str">
        <f t="shared" si="53"/>
        <v>SWE_178_54</v>
      </c>
      <c r="B209">
        <f t="shared" si="54"/>
        <v>11253.14180027009</v>
      </c>
      <c r="C209">
        <f t="shared" si="55"/>
        <v>13062.030817858553</v>
      </c>
      <c r="D209">
        <f t="shared" si="56"/>
        <v>16972.280563122542</v>
      </c>
      <c r="E209">
        <f t="shared" si="57"/>
        <v>21939.565351709134</v>
      </c>
      <c r="F209">
        <f t="shared" si="58"/>
        <v>311.91124789452886</v>
      </c>
      <c r="G209">
        <f>20600</f>
        <v>20600</v>
      </c>
      <c r="H209">
        <f t="shared" si="52"/>
        <v>24070.307018892658</v>
      </c>
      <c r="I209" s="9">
        <f>Table14[[#This Row],[HHV kJ/kg]]/1000</f>
        <v>24.070307018892656</v>
      </c>
    </row>
    <row r="210" spans="1:9" x14ac:dyDescent="0.2">
      <c r="A210" t="str">
        <f t="shared" si="53"/>
        <v>SWE_178_55</v>
      </c>
      <c r="B210">
        <f t="shared" si="54"/>
        <v>12155.842013633213</v>
      </c>
      <c r="C210">
        <f t="shared" si="55"/>
        <v>13575.828151968224</v>
      </c>
      <c r="D210">
        <f t="shared" si="56"/>
        <v>17899.727588429785</v>
      </c>
      <c r="E210">
        <f t="shared" si="57"/>
        <v>24048.603750246348</v>
      </c>
      <c r="F210">
        <f t="shared" si="58"/>
        <v>315.99742144773228</v>
      </c>
      <c r="G210">
        <f>20600</f>
        <v>20600</v>
      </c>
      <c r="H210">
        <f t="shared" si="52"/>
        <v>25644.887444929285</v>
      </c>
      <c r="I210" s="9">
        <f>Table14[[#This Row],[HHV kJ/kg]]/1000</f>
        <v>25.644887444929285</v>
      </c>
    </row>
    <row r="211" spans="1:9" x14ac:dyDescent="0.2">
      <c r="A211" t="str">
        <f t="shared" si="53"/>
        <v>SWE_178_56</v>
      </c>
      <c r="B211">
        <f t="shared" si="54"/>
        <v>12277.096545241198</v>
      </c>
      <c r="C211">
        <f t="shared" si="55"/>
        <v>13643.369585560107</v>
      </c>
      <c r="D211">
        <f t="shared" si="56"/>
        <v>17783.796710266379</v>
      </c>
      <c r="E211">
        <f t="shared" si="57"/>
        <v>24011.718437866806</v>
      </c>
      <c r="F211">
        <f t="shared" si="58"/>
        <v>337.7903470648173</v>
      </c>
      <c r="G211">
        <f>20600</f>
        <v>20600</v>
      </c>
      <c r="H211">
        <f t="shared" si="52"/>
        <v>25799.439034346335</v>
      </c>
      <c r="I211" s="9">
        <f>Table14[[#This Row],[HHV kJ/kg]]/1000</f>
        <v>25.799439034346335</v>
      </c>
    </row>
    <row r="212" spans="1:9" x14ac:dyDescent="0.2">
      <c r="A212" t="str">
        <f t="shared" si="53"/>
        <v>SWE_178_57</v>
      </c>
      <c r="B212">
        <f t="shared" si="54"/>
        <v>11838.28034363082</v>
      </c>
      <c r="C212">
        <f t="shared" si="55"/>
        <v>13397.325791761108</v>
      </c>
      <c r="D212">
        <f t="shared" si="56"/>
        <v>17250.514670714714</v>
      </c>
      <c r="E212">
        <f t="shared" si="57"/>
        <v>22871.639040704587</v>
      </c>
      <c r="F212">
        <f t="shared" si="58"/>
        <v>324.16976855413918</v>
      </c>
      <c r="G212">
        <f>20600</f>
        <v>20600</v>
      </c>
      <c r="H212">
        <f t="shared" si="52"/>
        <v>24986.248690413726</v>
      </c>
      <c r="I212" s="9">
        <f>Table14[[#This Row],[HHV kJ/kg]]/1000</f>
        <v>24.986248690413724</v>
      </c>
    </row>
    <row r="213" spans="1:9" x14ac:dyDescent="0.2">
      <c r="A213" t="str">
        <f t="shared" si="53"/>
        <v>SWE_178_58</v>
      </c>
      <c r="B213">
        <f t="shared" si="54"/>
        <v>12013.707426506684</v>
      </c>
      <c r="C213">
        <f t="shared" si="55"/>
        <v>13496.225748092078</v>
      </c>
      <c r="D213">
        <f t="shared" si="56"/>
        <v>17551.93495393957</v>
      </c>
      <c r="E213">
        <f t="shared" si="57"/>
        <v>23443.068027011879</v>
      </c>
      <c r="F213">
        <f t="shared" si="58"/>
        <v>330.98005780947824</v>
      </c>
      <c r="G213">
        <f>20600</f>
        <v>20600</v>
      </c>
      <c r="H213">
        <f t="shared" si="52"/>
        <v>25339.594809296395</v>
      </c>
      <c r="I213" s="9">
        <f>Table14[[#This Row],[HHV kJ/kg]]/1000</f>
        <v>25.339594809296397</v>
      </c>
    </row>
    <row r="214" spans="1:9" x14ac:dyDescent="0.2">
      <c r="A214" t="str">
        <f t="shared" si="53"/>
        <v>SWE_178_59</v>
      </c>
      <c r="B214">
        <f t="shared" si="54"/>
        <v>12342.301865013995</v>
      </c>
      <c r="C214">
        <f t="shared" si="55"/>
        <v>13679.5524964129</v>
      </c>
      <c r="D214">
        <f t="shared" si="56"/>
        <v>16601.301752999647</v>
      </c>
      <c r="E214">
        <f t="shared" si="57"/>
        <v>22474.557361516643</v>
      </c>
      <c r="F214">
        <f t="shared" si="58"/>
        <v>341.87652061802066</v>
      </c>
      <c r="G214">
        <f>20600</f>
        <v>20600</v>
      </c>
      <c r="H214">
        <f t="shared" si="52"/>
        <v>25477.881497736114</v>
      </c>
      <c r="I214" s="9">
        <f>Table14[[#This Row],[HHV kJ/kg]]/1000</f>
        <v>25.477881497736114</v>
      </c>
    </row>
    <row r="215" spans="1:9" x14ac:dyDescent="0.2">
      <c r="A215" t="str">
        <f t="shared" si="53"/>
        <v>SWE_178_60</v>
      </c>
      <c r="B215">
        <f t="shared" si="54"/>
        <v>12298.812463073771</v>
      </c>
      <c r="C215">
        <f t="shared" si="55"/>
        <v>13655.43055584437</v>
      </c>
      <c r="D215">
        <f t="shared" si="56"/>
        <v>17922.913764062465</v>
      </c>
      <c r="E215">
        <f t="shared" si="57"/>
        <v>24220.947383433904</v>
      </c>
      <c r="F215">
        <f t="shared" si="58"/>
        <v>310.54919004346107</v>
      </c>
      <c r="G215">
        <f>20600</f>
        <v>20600</v>
      </c>
      <c r="H215">
        <f t="shared" si="52"/>
        <v>25851.964716644303</v>
      </c>
      <c r="I215" s="9">
        <f>Table14[[#This Row],[HHV kJ/kg]]/1000</f>
        <v>25.851964716644304</v>
      </c>
    </row>
    <row r="216" spans="1:9" x14ac:dyDescent="0.2">
      <c r="A216" t="str">
        <f t="shared" si="53"/>
        <v>SWE_178_61</v>
      </c>
      <c r="B216">
        <f t="shared" si="54"/>
        <v>12048.087541079685</v>
      </c>
      <c r="C216">
        <f t="shared" si="55"/>
        <v>13515.523300546902</v>
      </c>
      <c r="D216">
        <f t="shared" si="56"/>
        <v>17180.956143816675</v>
      </c>
      <c r="E216">
        <f t="shared" si="57"/>
        <v>22980.385399096082</v>
      </c>
      <c r="F216">
        <f t="shared" si="58"/>
        <v>355.49709912869884</v>
      </c>
      <c r="G216">
        <f>20600</f>
        <v>20600</v>
      </c>
      <c r="H216">
        <f t="shared" si="52"/>
        <v>25287.490594940893</v>
      </c>
      <c r="I216" s="9">
        <f>Table14[[#This Row],[HHV kJ/kg]]/1000</f>
        <v>25.287490594940895</v>
      </c>
    </row>
    <row r="217" spans="1:9" x14ac:dyDescent="0.2">
      <c r="A217" t="str">
        <f t="shared" si="53"/>
        <v>SWE_178_62</v>
      </c>
      <c r="B217">
        <f t="shared" si="54"/>
        <v>12086.823887574888</v>
      </c>
      <c r="C217">
        <f t="shared" si="55"/>
        <v>13537.233047058578</v>
      </c>
      <c r="D217">
        <f t="shared" si="56"/>
        <v>17204.142319449355</v>
      </c>
      <c r="E217">
        <f t="shared" si="57"/>
        <v>23048.360867483414</v>
      </c>
      <c r="F217">
        <f t="shared" si="58"/>
        <v>356.85915697976662</v>
      </c>
      <c r="G217">
        <f>20600</f>
        <v>20600</v>
      </c>
      <c r="H217">
        <f t="shared" si="52"/>
        <v>25350.668545530134</v>
      </c>
      <c r="I217" s="9">
        <f>Table14[[#This Row],[HHV kJ/kg]]/1000</f>
        <v>25.350668545530134</v>
      </c>
    </row>
    <row r="218" spans="1:9" x14ac:dyDescent="0.2">
      <c r="A218" t="str">
        <f t="shared" si="53"/>
        <v>SWE_178_63</v>
      </c>
      <c r="B218">
        <f t="shared" si="54"/>
        <v>12398.952836311259</v>
      </c>
      <c r="C218">
        <f t="shared" si="55"/>
        <v>13710.911019151989</v>
      </c>
      <c r="D218">
        <f t="shared" si="56"/>
        <v>17250.514670714714</v>
      </c>
      <c r="E218">
        <f t="shared" si="57"/>
        <v>23406.985291207217</v>
      </c>
      <c r="F218">
        <f t="shared" si="58"/>
        <v>352.7729834265632</v>
      </c>
      <c r="G218">
        <f>20600</f>
        <v>20600</v>
      </c>
      <c r="H218">
        <f t="shared" si="52"/>
        <v>25797.285421078333</v>
      </c>
      <c r="I218" s="9">
        <f>Table14[[#This Row],[HHV kJ/kg]]/1000</f>
        <v>25.797285421078332</v>
      </c>
    </row>
    <row r="219" spans="1:9" x14ac:dyDescent="0.2">
      <c r="A219" t="str">
        <f t="shared" si="53"/>
        <v>SWE_178_64</v>
      </c>
      <c r="B219">
        <f t="shared" si="54"/>
        <v>12000.827548122323</v>
      </c>
      <c r="C219">
        <f t="shared" si="55"/>
        <v>13488.989165921521</v>
      </c>
      <c r="D219">
        <f t="shared" si="56"/>
        <v>17111.397616918628</v>
      </c>
      <c r="E219">
        <f t="shared" si="57"/>
        <v>22842.41418335705</v>
      </c>
      <c r="F219">
        <f t="shared" si="58"/>
        <v>348.68680987335978</v>
      </c>
      <c r="G219">
        <f>20600</f>
        <v>20600</v>
      </c>
      <c r="H219">
        <f t="shared" si="52"/>
        <v>25191.541758512583</v>
      </c>
      <c r="I219" s="9">
        <f>Table14[[#This Row],[HHV kJ/kg]]/1000</f>
        <v>25.191541758512582</v>
      </c>
    </row>
    <row r="220" spans="1:9" x14ac:dyDescent="0.2">
      <c r="A220" t="str">
        <f t="shared" si="53"/>
        <v>SWE_178_65</v>
      </c>
      <c r="B220">
        <f t="shared" si="54"/>
        <v>11855.338382259828</v>
      </c>
      <c r="C220">
        <f t="shared" si="55"/>
        <v>13406.97456798852</v>
      </c>
      <c r="D220">
        <f t="shared" si="56"/>
        <v>16786.791158061096</v>
      </c>
      <c r="E220">
        <f t="shared" si="57"/>
        <v>22272.839425688293</v>
      </c>
      <c r="F220">
        <f t="shared" si="58"/>
        <v>355.49709912869884</v>
      </c>
      <c r="G220">
        <f>20600</f>
        <v>20600</v>
      </c>
      <c r="H220">
        <f t="shared" si="52"/>
        <v>24889.909181027208</v>
      </c>
      <c r="I220" s="9">
        <f>Table14[[#This Row],[HHV kJ/kg]]/1000</f>
        <v>24.889909181027207</v>
      </c>
    </row>
    <row r="221" spans="1:9" x14ac:dyDescent="0.2">
      <c r="A221" t="str">
        <f t="shared" si="53"/>
        <v>SWE_178_66</v>
      </c>
      <c r="B221">
        <f t="shared" si="54"/>
        <v>11923.693344829335</v>
      </c>
      <c r="C221">
        <f t="shared" si="55"/>
        <v>13445.569672898167</v>
      </c>
      <c r="D221">
        <f t="shared" si="56"/>
        <v>17343.259373245441</v>
      </c>
      <c r="E221">
        <f t="shared" si="57"/>
        <v>23077.408604483393</v>
      </c>
      <c r="F221">
        <f t="shared" si="58"/>
        <v>345.96269417122414</v>
      </c>
      <c r="G221">
        <f>20600</f>
        <v>20600</v>
      </c>
      <c r="H221">
        <f t="shared" si="52"/>
        <v>25158.235597340343</v>
      </c>
      <c r="I221" s="9">
        <f>Table14[[#This Row],[HHV kJ/kg]]/1000</f>
        <v>25.158235597340344</v>
      </c>
    </row>
    <row r="222" spans="1:9" x14ac:dyDescent="0.2">
      <c r="A222" t="str">
        <f t="shared" si="53"/>
        <v>SWE_178_67</v>
      </c>
      <c r="B222">
        <f t="shared" si="54"/>
        <v>12065.296019574211</v>
      </c>
      <c r="C222">
        <f t="shared" si="55"/>
        <v>13525.172076774312</v>
      </c>
      <c r="D222">
        <f t="shared" si="56"/>
        <v>17134.583792551308</v>
      </c>
      <c r="E222">
        <f t="shared" si="57"/>
        <v>22934.72155949055</v>
      </c>
      <c r="F222">
        <f t="shared" si="58"/>
        <v>354.13504127763105</v>
      </c>
      <c r="G222">
        <f>20600</f>
        <v>20600</v>
      </c>
      <c r="H222">
        <f t="shared" si="52"/>
        <v>25294.396751016771</v>
      </c>
      <c r="I222" s="9">
        <f>Table14[[#This Row],[HHV kJ/kg]]/1000</f>
        <v>25.29439675101677</v>
      </c>
    </row>
    <row r="223" spans="1:9" x14ac:dyDescent="0.2">
      <c r="A223" t="str">
        <f t="shared" si="53"/>
        <v>SWE_178_68</v>
      </c>
      <c r="B223">
        <f t="shared" si="54"/>
        <v>12000.827548122323</v>
      </c>
      <c r="C223">
        <f t="shared" si="55"/>
        <v>13488.989165921521</v>
      </c>
      <c r="D223">
        <f t="shared" si="56"/>
        <v>16879.535860591819</v>
      </c>
      <c r="E223">
        <f t="shared" si="57"/>
        <v>22532.896375994489</v>
      </c>
      <c r="F223">
        <f t="shared" si="58"/>
        <v>347.32475202229199</v>
      </c>
      <c r="G223">
        <f>20600</f>
        <v>20600</v>
      </c>
      <c r="H223">
        <f t="shared" si="52"/>
        <v>25112.523649625764</v>
      </c>
      <c r="I223" s="9">
        <f>Table14[[#This Row],[HHV kJ/kg]]/1000</f>
        <v>25.112523649625764</v>
      </c>
    </row>
    <row r="224" spans="1:9" x14ac:dyDescent="0.2">
      <c r="A224" t="str">
        <f t="shared" ref="A224:A230" si="59">A145</f>
        <v>SWE_178_69</v>
      </c>
      <c r="B224">
        <f t="shared" ref="B224:B230" si="60">3.55*I145^2</f>
        <v>12104.059997881446</v>
      </c>
      <c r="C224">
        <f t="shared" ref="C224:C230" si="61">232*I145</f>
        <v>13546.881823285989</v>
      </c>
      <c r="D224">
        <f t="shared" ref="D224:D230" si="62">2230*J145</f>
        <v>16694.04645553037</v>
      </c>
      <c r="E224">
        <f t="shared" ref="E224:E230" si="63">51.2*I145*J145</f>
        <v>22380.927117787291</v>
      </c>
      <c r="F224">
        <f t="shared" ref="F224:F230" si="64">131*K145</f>
        <v>332.34211566054603</v>
      </c>
      <c r="G224">
        <f>20600</f>
        <v>20600</v>
      </c>
      <c r="H224">
        <f t="shared" si="52"/>
        <v>25176.400952512926</v>
      </c>
      <c r="I224" s="9">
        <f>Table14[[#This Row],[HHV kJ/kg]]/1000</f>
        <v>25.176400952512925</v>
      </c>
    </row>
    <row r="225" spans="1:9" x14ac:dyDescent="0.2">
      <c r="A225" t="str">
        <f t="shared" si="59"/>
        <v>SWE_178_70</v>
      </c>
      <c r="B225">
        <f t="shared" si="60"/>
        <v>11842.54370196257</v>
      </c>
      <c r="C225">
        <f t="shared" si="61"/>
        <v>13399.737985817961</v>
      </c>
      <c r="D225">
        <f t="shared" si="62"/>
        <v>15998.461186549937</v>
      </c>
      <c r="E225">
        <f t="shared" si="63"/>
        <v>21215.419880728376</v>
      </c>
      <c r="F225">
        <f t="shared" si="64"/>
        <v>321.44565285200355</v>
      </c>
      <c r="G225">
        <f>20600</f>
        <v>20600</v>
      </c>
      <c r="H225">
        <f t="shared" ref="H225:H230" si="65">B225-C225-D225+E225+F225+G225</f>
        <v>24581.210063175051</v>
      </c>
      <c r="I225" s="9">
        <f>Table14[[#This Row],[HHV kJ/kg]]/1000</f>
        <v>24.58121006317505</v>
      </c>
    </row>
    <row r="226" spans="1:9" x14ac:dyDescent="0.2">
      <c r="A226" t="str">
        <f t="shared" si="59"/>
        <v>SWE_178_71</v>
      </c>
      <c r="B226">
        <f t="shared" si="60"/>
        <v>8148.9529505789615</v>
      </c>
      <c r="C226">
        <f t="shared" si="61"/>
        <v>11115.390213978248</v>
      </c>
      <c r="D226">
        <f t="shared" si="62"/>
        <v>16972.280563122542</v>
      </c>
      <c r="E226">
        <f t="shared" si="63"/>
        <v>18669.901595692645</v>
      </c>
      <c r="F226">
        <f t="shared" si="64"/>
        <v>234.27395038366362</v>
      </c>
      <c r="G226">
        <f>20600</f>
        <v>20600</v>
      </c>
      <c r="H226">
        <f t="shared" si="65"/>
        <v>19565.457719554481</v>
      </c>
      <c r="I226" s="9">
        <f>Table14[[#This Row],[HHV kJ/kg]]/1000</f>
        <v>19.56545771955448</v>
      </c>
    </row>
    <row r="227" spans="1:9" x14ac:dyDescent="0.2">
      <c r="A227" t="str">
        <f t="shared" si="59"/>
        <v>SWE_178_72</v>
      </c>
      <c r="B227">
        <f t="shared" si="60"/>
        <v>12233.72227585112</v>
      </c>
      <c r="C227">
        <f t="shared" si="61"/>
        <v>13619.247644991578</v>
      </c>
      <c r="D227">
        <f t="shared" si="62"/>
        <v>18386.637276716086</v>
      </c>
      <c r="E227">
        <f t="shared" si="63"/>
        <v>24781.782358952707</v>
      </c>
      <c r="F227">
        <f t="shared" si="64"/>
        <v>294.20449583064737</v>
      </c>
      <c r="G227">
        <f>20600</f>
        <v>20600</v>
      </c>
      <c r="H227">
        <f t="shared" si="65"/>
        <v>25903.82420892681</v>
      </c>
      <c r="I227" s="9">
        <f>Table14[[#This Row],[HHV kJ/kg]]/1000</f>
        <v>25.90382420892681</v>
      </c>
    </row>
    <row r="228" spans="1:9" x14ac:dyDescent="0.2">
      <c r="A228" t="str">
        <f t="shared" si="59"/>
        <v>SWE_178_73</v>
      </c>
      <c r="B228">
        <f t="shared" si="60"/>
        <v>12207.734556633117</v>
      </c>
      <c r="C228">
        <f t="shared" si="61"/>
        <v>13604.77448065046</v>
      </c>
      <c r="D228">
        <f t="shared" si="62"/>
        <v>18177.961696021957</v>
      </c>
      <c r="E228">
        <f t="shared" si="63"/>
        <v>24474.489625956379</v>
      </c>
      <c r="F228">
        <f t="shared" si="64"/>
        <v>306.46301649025764</v>
      </c>
      <c r="G228">
        <f>20600</f>
        <v>20600</v>
      </c>
      <c r="H228">
        <f t="shared" si="65"/>
        <v>25805.951022407338</v>
      </c>
      <c r="I228" s="9">
        <f>Table14[[#This Row],[HHV kJ/kg]]/1000</f>
        <v>25.805951022407339</v>
      </c>
    </row>
    <row r="229" spans="1:9" x14ac:dyDescent="0.2">
      <c r="A229" t="str">
        <f t="shared" si="59"/>
        <v>SWE_178_74</v>
      </c>
      <c r="B229">
        <f t="shared" si="60"/>
        <v>12324.896893633895</v>
      </c>
      <c r="C229">
        <f t="shared" si="61"/>
        <v>13669.90372018549</v>
      </c>
      <c r="D229">
        <f t="shared" si="62"/>
        <v>17296.887021980077</v>
      </c>
      <c r="E229">
        <f t="shared" si="63"/>
        <v>23399.712286935501</v>
      </c>
      <c r="F229">
        <f t="shared" si="64"/>
        <v>320.0835950009357</v>
      </c>
      <c r="G229">
        <f>20600</f>
        <v>20600</v>
      </c>
      <c r="H229">
        <f t="shared" si="65"/>
        <v>25677.902033404764</v>
      </c>
      <c r="I229" s="9">
        <f>Table14[[#This Row],[HHV kJ/kg]]/1000</f>
        <v>25.677902033404763</v>
      </c>
    </row>
    <row r="230" spans="1:9" x14ac:dyDescent="0.2">
      <c r="A230" t="str">
        <f t="shared" si="59"/>
        <v>SWE_178_75</v>
      </c>
      <c r="B230">
        <f t="shared" si="60"/>
        <v>12333.597844223275</v>
      </c>
      <c r="C230">
        <f t="shared" si="61"/>
        <v>13674.728108299194</v>
      </c>
      <c r="D230">
        <f t="shared" si="62"/>
        <v>17853.355237164422</v>
      </c>
      <c r="E230">
        <f t="shared" si="63"/>
        <v>24161.04196088231</v>
      </c>
      <c r="F230">
        <f t="shared" si="64"/>
        <v>324.16976855413918</v>
      </c>
      <c r="G230">
        <f>20600</f>
        <v>20600</v>
      </c>
      <c r="H230">
        <f t="shared" si="65"/>
        <v>25890.726228196108</v>
      </c>
      <c r="I230" s="9">
        <f>Table14[[#This Row],[HHV kJ/kg]]/1000</f>
        <v>25.890726228196108</v>
      </c>
    </row>
  </sheetData>
  <mergeCells count="2">
    <mergeCell ref="B79:H79"/>
    <mergeCell ref="I79:M79"/>
  </mergeCells>
  <pageMargins left="0.7" right="0.7" top="0.75" bottom="0.75" header="0.3" footer="0.3"/>
  <tableParts count="3">
    <tablePart r:id="rId1"/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V79"/>
  <sheetViews>
    <sheetView topLeftCell="D22" zoomScale="69" zoomScaleNormal="69" workbookViewId="0">
      <selection activeCell="D22" sqref="A1:XFD1048576"/>
    </sheetView>
  </sheetViews>
  <sheetFormatPr defaultRowHeight="10.199999999999999" x14ac:dyDescent="0.2"/>
  <cols>
    <col min="1" max="1" width="26.140625" style="3" customWidth="1"/>
    <col min="2" max="2" width="18.7109375" style="3" customWidth="1"/>
    <col min="3" max="4" width="18" style="3" customWidth="1"/>
    <col min="5" max="5" width="16.42578125" style="3" customWidth="1"/>
    <col min="6" max="6" width="19.140625" style="3" customWidth="1"/>
    <col min="7" max="7" width="19" style="3" customWidth="1"/>
    <col min="8" max="8" width="25" style="3" bestFit="1" customWidth="1"/>
    <col min="9" max="9" width="17.7109375" style="3" customWidth="1"/>
    <col min="10" max="10" width="40.28515625" style="3" customWidth="1"/>
    <col min="11" max="11" width="25.7109375" style="3" customWidth="1"/>
    <col min="12" max="12" width="22.7109375" style="3" customWidth="1"/>
    <col min="13" max="13" width="39" style="3" customWidth="1"/>
    <col min="14" max="14" width="18.140625" style="3" customWidth="1"/>
    <col min="15" max="15" width="16.140625" style="3" customWidth="1"/>
    <col min="16" max="16" width="12.7109375" style="3" customWidth="1"/>
    <col min="17" max="17" width="9.28515625" style="3" customWidth="1"/>
    <col min="18" max="18" width="9.140625" style="3"/>
    <col min="19" max="19" width="20.42578125" style="3" customWidth="1"/>
    <col min="20" max="16384" width="9.140625" style="3"/>
  </cols>
  <sheetData>
    <row r="1" spans="1:22" x14ac:dyDescent="0.2">
      <c r="A1" s="3" t="s">
        <v>0</v>
      </c>
      <c r="B1" s="3" t="s">
        <v>1</v>
      </c>
      <c r="C1" s="3" t="s">
        <v>2</v>
      </c>
      <c r="D1" s="3" t="s">
        <v>87</v>
      </c>
      <c r="E1" s="3" t="s">
        <v>3</v>
      </c>
      <c r="F1" s="3" t="s">
        <v>15</v>
      </c>
      <c r="G1" s="3" t="s">
        <v>4</v>
      </c>
      <c r="H1" s="3" t="s">
        <v>88</v>
      </c>
      <c r="I1" s="3" t="s">
        <v>5</v>
      </c>
      <c r="J1" s="3" t="s">
        <v>82</v>
      </c>
      <c r="K1" s="3" t="s">
        <v>254</v>
      </c>
      <c r="L1" s="3" t="s">
        <v>6</v>
      </c>
      <c r="M1" s="3" t="s">
        <v>89</v>
      </c>
      <c r="N1" s="3" t="s">
        <v>7</v>
      </c>
      <c r="O1" s="3" t="s">
        <v>83</v>
      </c>
      <c r="P1" s="3" t="s">
        <v>255</v>
      </c>
      <c r="Q1" s="3" t="s">
        <v>8</v>
      </c>
      <c r="R1" s="3" t="s">
        <v>53</v>
      </c>
      <c r="S1" s="3" t="s">
        <v>9</v>
      </c>
      <c r="T1" s="3" t="s">
        <v>10</v>
      </c>
      <c r="U1" s="3" t="s">
        <v>11</v>
      </c>
      <c r="V1" s="3" t="s">
        <v>12</v>
      </c>
    </row>
    <row r="2" spans="1:22" x14ac:dyDescent="0.2">
      <c r="A2" s="3" t="s">
        <v>14</v>
      </c>
      <c r="B2" s="3" t="str">
        <f>'SWE_178 ultimate'!B2</f>
        <v>RAW</v>
      </c>
      <c r="C2" s="3">
        <f>'SWE_178 ultimate'!C2</f>
        <v>49.48</v>
      </c>
      <c r="D2" s="3">
        <f>'SWE_178 ultimate'!D2</f>
        <v>49.35</v>
      </c>
      <c r="E2" s="3">
        <f>'SWE_178 ultimate'!E2</f>
        <v>49.414999999999999</v>
      </c>
      <c r="F2" s="3">
        <f>'SWE_178 ultimate'!F2</f>
        <v>9.1923881554247966E-2</v>
      </c>
      <c r="G2" s="3">
        <f>'SWE_178 ultimate'!G2</f>
        <v>7.24</v>
      </c>
      <c r="H2" s="3">
        <f>'SWE_178 ultimate'!H2</f>
        <v>7.19</v>
      </c>
      <c r="I2" s="3">
        <f>'SWE_178 ultimate'!I2</f>
        <v>7.2149999999999999</v>
      </c>
      <c r="J2" s="3">
        <f>'SWE_178 ultimate'!J2</f>
        <v>3.5355339059327251E-2</v>
      </c>
      <c r="K2" s="3">
        <f>Table6[[#This Row],[stdev3]]/SQRT(2)</f>
        <v>2.4999999999999911E-2</v>
      </c>
      <c r="L2" s="3">
        <v>2.39</v>
      </c>
      <c r="M2" s="3">
        <v>2.36</v>
      </c>
      <c r="N2" s="3">
        <f>'SWE_178 ultimate'!M2</f>
        <v>2.375</v>
      </c>
      <c r="O2" s="3">
        <f>'SWE_178 ultimate'!N2</f>
        <v>2.12132034355966E-2</v>
      </c>
      <c r="P2" s="3">
        <f>Table6[[#This Row],[STDEV5]]/SQRT(2)</f>
        <v>1.5000000000000123E-2</v>
      </c>
      <c r="Q2" s="3">
        <f>'SWE_178 ultimate'!O2</f>
        <v>40.995000000000005</v>
      </c>
      <c r="S2" s="3">
        <f>'SWE_178 ultimate'!Q2</f>
        <v>0.14600829707578669</v>
      </c>
      <c r="T2" s="3">
        <f>'SWE_178 ultimate'!R2</f>
        <v>4.8062329252251339E-2</v>
      </c>
      <c r="U2" s="3">
        <f>'SWE_178 ultimate'!S2</f>
        <v>0.82960639481938692</v>
      </c>
      <c r="V2" s="3">
        <f>'SWE_178 ultimate'!T2</f>
        <v>0</v>
      </c>
    </row>
    <row r="3" spans="1:22" x14ac:dyDescent="0.2">
      <c r="A3" s="75" t="s">
        <v>188</v>
      </c>
      <c r="C3" s="3">
        <v>68.489999999999995</v>
      </c>
      <c r="D3" s="3">
        <v>68.540000000000006</v>
      </c>
      <c r="E3" s="3">
        <f>AVERAGE(C3:D3)</f>
        <v>68.515000000000001</v>
      </c>
      <c r="F3" s="3">
        <f>STDEV(C3:D3)</f>
        <v>3.5355339059335411E-2</v>
      </c>
      <c r="G3" s="3">
        <v>7.95</v>
      </c>
      <c r="H3" s="3">
        <v>7.75</v>
      </c>
      <c r="I3" s="3">
        <f t="shared" ref="I3:I26" si="0">AVERAGE(G3:H3)</f>
        <v>7.85</v>
      </c>
      <c r="J3" s="3">
        <f>STDEV(G3:H3)</f>
        <v>0.14142135623730964</v>
      </c>
      <c r="K3" s="3">
        <f>Table6[[#This Row],[stdev3]]/SQRT(2)</f>
        <v>0.10000000000000009</v>
      </c>
      <c r="L3" s="3">
        <v>2.58</v>
      </c>
      <c r="M3" s="3">
        <v>2.5099999999999998</v>
      </c>
      <c r="N3" s="3">
        <f>AVERAGE(L3:M3)</f>
        <v>2.5449999999999999</v>
      </c>
      <c r="O3" s="3">
        <f>STDEV(L3:M3)</f>
        <v>4.9497474683058526E-2</v>
      </c>
      <c r="P3" s="3">
        <f>Table6[[#This Row],[STDEV5]]/SQRT(2)</f>
        <v>3.5000000000000135E-2</v>
      </c>
      <c r="Q3" s="3">
        <f t="shared" ref="Q3:Q26" si="1">100-(E3+I3+N3)</f>
        <v>21.090000000000003</v>
      </c>
      <c r="S3" s="3">
        <f t="shared" ref="S3:S26" si="2">I3/E3</f>
        <v>0.11457345106910895</v>
      </c>
      <c r="T3" s="3">
        <f t="shared" ref="T3:T26" si="3">N3/E3</f>
        <v>3.7145150696927677E-2</v>
      </c>
      <c r="U3" s="3">
        <f t="shared" ref="U3:U26" si="4">Q3/E3</f>
        <v>0.30781580675764436</v>
      </c>
      <c r="V3" s="3">
        <f>100-(T3/T2*100)</f>
        <v>22.71462645521342</v>
      </c>
    </row>
    <row r="4" spans="1:22" x14ac:dyDescent="0.2">
      <c r="A4" s="75" t="s">
        <v>189</v>
      </c>
      <c r="B4" s="3" t="s">
        <v>103</v>
      </c>
      <c r="C4" s="3">
        <v>63.79</v>
      </c>
      <c r="D4" s="3">
        <v>63.4</v>
      </c>
      <c r="E4" s="3">
        <f t="shared" ref="E4:E24" si="5">AVERAGE(C4:D4)</f>
        <v>63.594999999999999</v>
      </c>
      <c r="F4" s="3">
        <f t="shared" ref="F4:F24" si="6">STDEV(C4:D4)</f>
        <v>0.27577164466275395</v>
      </c>
      <c r="G4" s="3">
        <v>5.28</v>
      </c>
      <c r="H4" s="3">
        <v>5.58</v>
      </c>
      <c r="I4" s="3">
        <f t="shared" si="0"/>
        <v>5.43</v>
      </c>
      <c r="J4" s="3">
        <f t="shared" ref="J4:J23" si="7">STDEV(G4:H4)</f>
        <v>0.21213203435596412</v>
      </c>
      <c r="K4" s="3">
        <f>Table6[[#This Row],[stdev3]]/SQRT(2)</f>
        <v>0.14999999999999988</v>
      </c>
      <c r="L4" s="3">
        <v>3.4</v>
      </c>
      <c r="M4" s="3">
        <v>3.37</v>
      </c>
      <c r="N4" s="3">
        <f t="shared" ref="N4:N24" si="8">AVERAGE(L4:M4)</f>
        <v>3.3849999999999998</v>
      </c>
      <c r="O4" s="3">
        <f t="shared" ref="O4:O24" si="9">STDEV(L4:M4)</f>
        <v>2.1213203435596288E-2</v>
      </c>
      <c r="P4" s="3">
        <f>Table6[[#This Row],[STDEV5]]/SQRT(2)</f>
        <v>1.4999999999999902E-2</v>
      </c>
      <c r="Q4" s="3">
        <f t="shared" si="1"/>
        <v>27.589999999999989</v>
      </c>
      <c r="S4" s="3">
        <f t="shared" si="2"/>
        <v>8.5384071074770029E-2</v>
      </c>
      <c r="T4" s="3">
        <f t="shared" si="3"/>
        <v>5.322745498859973E-2</v>
      </c>
      <c r="U4" s="3">
        <f t="shared" si="4"/>
        <v>0.43383913829703574</v>
      </c>
      <c r="V4" s="3">
        <f>100-(T4/T2*100)</f>
        <v>-10.746723716280243</v>
      </c>
    </row>
    <row r="5" spans="1:22" x14ac:dyDescent="0.2">
      <c r="A5" s="75" t="s">
        <v>190</v>
      </c>
      <c r="B5" s="3" t="s">
        <v>104</v>
      </c>
      <c r="C5" s="3">
        <v>74.459999999999994</v>
      </c>
      <c r="D5" s="3">
        <v>74.819999999999993</v>
      </c>
      <c r="E5" s="3">
        <f t="shared" si="5"/>
        <v>74.639999999999986</v>
      </c>
      <c r="F5" s="3">
        <f t="shared" si="6"/>
        <v>0.25455844122715671</v>
      </c>
      <c r="G5" s="3">
        <v>12.19</v>
      </c>
      <c r="H5" s="3">
        <v>12.32</v>
      </c>
      <c r="I5" s="3">
        <f t="shared" si="0"/>
        <v>12.254999999999999</v>
      </c>
      <c r="J5" s="3">
        <f t="shared" si="7"/>
        <v>9.1923881554251727E-2</v>
      </c>
      <c r="K5" s="3">
        <f>Table6[[#This Row],[stdev3]]/SQRT(2)</f>
        <v>6.5000000000000377E-2</v>
      </c>
      <c r="L5" s="3">
        <v>0.78</v>
      </c>
      <c r="M5" s="3">
        <v>0.73</v>
      </c>
      <c r="N5" s="3">
        <f t="shared" si="8"/>
        <v>0.755</v>
      </c>
      <c r="O5" s="3">
        <f t="shared" si="9"/>
        <v>3.5355339059327411E-2</v>
      </c>
      <c r="P5" s="3">
        <f>Table6[[#This Row],[STDEV5]]/SQRT(2)</f>
        <v>2.5000000000000022E-2</v>
      </c>
      <c r="Q5" s="3">
        <f t="shared" si="1"/>
        <v>12.350000000000023</v>
      </c>
      <c r="S5" s="3">
        <f t="shared" si="2"/>
        <v>0.16418810289389069</v>
      </c>
      <c r="T5" s="3">
        <f t="shared" si="3"/>
        <v>1.0115219721329049E-2</v>
      </c>
      <c r="U5" s="3">
        <f t="shared" si="4"/>
        <v>0.16546087888531652</v>
      </c>
      <c r="V5" s="75">
        <f>100-(T5/T2*100)</f>
        <v>78.953954419811581</v>
      </c>
    </row>
    <row r="6" spans="1:22" x14ac:dyDescent="0.2">
      <c r="A6" s="75" t="s">
        <v>191</v>
      </c>
      <c r="C6" s="3">
        <v>68.09</v>
      </c>
      <c r="D6" s="3">
        <v>68.2</v>
      </c>
      <c r="E6" s="3">
        <f t="shared" si="5"/>
        <v>68.14500000000001</v>
      </c>
      <c r="F6" s="3">
        <f t="shared" si="6"/>
        <v>7.7781745930519827E-2</v>
      </c>
      <c r="G6" s="3">
        <v>7.35</v>
      </c>
      <c r="H6" s="3">
        <v>7.52</v>
      </c>
      <c r="I6" s="3">
        <f t="shared" si="0"/>
        <v>7.4349999999999996</v>
      </c>
      <c r="J6" s="3">
        <f t="shared" si="7"/>
        <v>0.12020815280171303</v>
      </c>
      <c r="K6" s="3">
        <f>Table6[[#This Row],[stdev3]]/SQRT(2)</f>
        <v>8.4999999999999964E-2</v>
      </c>
      <c r="L6" s="3">
        <v>2.59</v>
      </c>
      <c r="M6" s="3">
        <v>2.66</v>
      </c>
      <c r="N6" s="3">
        <f t="shared" si="8"/>
        <v>2.625</v>
      </c>
      <c r="O6" s="3">
        <f t="shared" si="9"/>
        <v>4.9497474683058526E-2</v>
      </c>
      <c r="P6" s="3">
        <f>Table6[[#This Row],[STDEV5]]/SQRT(2)</f>
        <v>3.5000000000000135E-2</v>
      </c>
      <c r="Q6" s="3">
        <f t="shared" si="1"/>
        <v>21.794999999999987</v>
      </c>
      <c r="S6" s="3">
        <f t="shared" si="2"/>
        <v>0.10910558368185484</v>
      </c>
      <c r="T6" s="3">
        <f t="shared" si="3"/>
        <v>3.8520801232665637E-2</v>
      </c>
      <c r="U6" s="3">
        <f t="shared" si="4"/>
        <v>0.31983270966321792</v>
      </c>
      <c r="V6" s="3">
        <f>100-(T6/T2*100)</f>
        <v>19.852404508961158</v>
      </c>
    </row>
    <row r="7" spans="1:22" x14ac:dyDescent="0.2">
      <c r="A7" s="75" t="s">
        <v>187</v>
      </c>
      <c r="B7" s="3" t="s">
        <v>103</v>
      </c>
      <c r="C7" s="3">
        <v>63.8</v>
      </c>
      <c r="D7" s="3">
        <v>63.73</v>
      </c>
      <c r="E7" s="3">
        <f t="shared" si="5"/>
        <v>63.765000000000001</v>
      </c>
      <c r="F7" s="3">
        <f t="shared" si="6"/>
        <v>4.9497474683058526E-2</v>
      </c>
      <c r="G7" s="3">
        <v>5.94</v>
      </c>
      <c r="H7" s="3">
        <v>5.82</v>
      </c>
      <c r="I7" s="3">
        <f t="shared" si="0"/>
        <v>5.8800000000000008</v>
      </c>
      <c r="J7" s="3">
        <f t="shared" si="7"/>
        <v>8.4852813742385777E-2</v>
      </c>
      <c r="K7" s="3">
        <f>Table6[[#This Row],[stdev3]]/SQRT(2)</f>
        <v>6.0000000000000046E-2</v>
      </c>
      <c r="L7" s="3">
        <v>3.64</v>
      </c>
      <c r="M7" s="3">
        <v>3.64</v>
      </c>
      <c r="N7" s="3">
        <f t="shared" si="8"/>
        <v>3.64</v>
      </c>
      <c r="O7" s="3">
        <f t="shared" si="9"/>
        <v>0</v>
      </c>
      <c r="P7" s="3">
        <f>Table6[[#This Row],[STDEV5]]/SQRT(2)</f>
        <v>0</v>
      </c>
      <c r="Q7" s="3">
        <f t="shared" si="1"/>
        <v>26.715000000000003</v>
      </c>
      <c r="S7" s="3">
        <f t="shared" si="2"/>
        <v>9.2213596800752778E-2</v>
      </c>
      <c r="T7" s="3">
        <f t="shared" si="3"/>
        <v>5.7084607543323139E-2</v>
      </c>
      <c r="U7" s="3">
        <f t="shared" si="4"/>
        <v>0.4189602446483181</v>
      </c>
      <c r="V7" s="3">
        <f>100-(T7/T2*100)</f>
        <v>-18.772037126455274</v>
      </c>
    </row>
    <row r="8" spans="1:22" x14ac:dyDescent="0.2">
      <c r="A8" s="75" t="s">
        <v>192</v>
      </c>
      <c r="B8" s="3" t="s">
        <v>104</v>
      </c>
      <c r="C8" s="3">
        <v>74.959999999999994</v>
      </c>
      <c r="D8" s="3">
        <v>74.83</v>
      </c>
      <c r="E8" s="3">
        <f t="shared" si="5"/>
        <v>74.894999999999996</v>
      </c>
      <c r="F8" s="3">
        <f t="shared" si="6"/>
        <v>9.1923881554247966E-2</v>
      </c>
      <c r="G8" s="3">
        <v>12.05</v>
      </c>
      <c r="H8" s="3">
        <v>12.33</v>
      </c>
      <c r="I8" s="3">
        <f t="shared" si="0"/>
        <v>12.190000000000001</v>
      </c>
      <c r="J8" s="3">
        <f t="shared" si="7"/>
        <v>0.19798989873223286</v>
      </c>
      <c r="K8" s="3">
        <f>Table6[[#This Row],[stdev3]]/SQRT(2)</f>
        <v>0.13999999999999968</v>
      </c>
      <c r="L8" s="3">
        <v>0.71</v>
      </c>
      <c r="M8" s="3">
        <v>0.76</v>
      </c>
      <c r="N8" s="3">
        <f t="shared" si="8"/>
        <v>0.73499999999999999</v>
      </c>
      <c r="O8" s="3">
        <f t="shared" si="9"/>
        <v>3.5355339059327411E-2</v>
      </c>
      <c r="P8" s="3">
        <f>Table6[[#This Row],[STDEV5]]/SQRT(2)</f>
        <v>2.5000000000000022E-2</v>
      </c>
      <c r="Q8" s="3">
        <f t="shared" si="1"/>
        <v>12.180000000000007</v>
      </c>
      <c r="S8" s="3">
        <f t="shared" si="2"/>
        <v>0.1627611990119501</v>
      </c>
      <c r="T8" s="3">
        <f t="shared" si="3"/>
        <v>9.8137392349289011E-3</v>
      </c>
      <c r="U8" s="3">
        <f t="shared" si="4"/>
        <v>0.16262767875025044</v>
      </c>
      <c r="V8" s="75">
        <f>100-(T8/T2*100)</f>
        <v>79.581224240252141</v>
      </c>
    </row>
    <row r="9" spans="1:22" x14ac:dyDescent="0.2">
      <c r="A9" s="75" t="s">
        <v>193</v>
      </c>
      <c r="B9" s="75" t="s">
        <v>194</v>
      </c>
      <c r="C9" s="3">
        <v>61.38</v>
      </c>
      <c r="D9" s="3">
        <v>60.59</v>
      </c>
      <c r="E9" s="3">
        <f t="shared" si="5"/>
        <v>60.984999999999999</v>
      </c>
      <c r="F9" s="3">
        <f t="shared" si="6"/>
        <v>0.55861435713737195</v>
      </c>
      <c r="G9" s="3">
        <v>7.78</v>
      </c>
      <c r="H9" s="3">
        <v>8.1199999999999992</v>
      </c>
      <c r="I9" s="3">
        <f t="shared" si="0"/>
        <v>7.9499999999999993</v>
      </c>
      <c r="J9" s="3">
        <f>AVERAGE(H9:I9)</f>
        <v>8.0350000000000001</v>
      </c>
      <c r="K9" s="3">
        <f>Table6[[#This Row],[stdev3]]/SQRT(2)</f>
        <v>5.6816029868339086</v>
      </c>
      <c r="L9" s="3">
        <v>1.83</v>
      </c>
      <c r="M9" s="3">
        <v>1.83</v>
      </c>
      <c r="N9" s="3">
        <f t="shared" si="8"/>
        <v>1.83</v>
      </c>
      <c r="O9" s="3">
        <f>STDEV(L9:M9)</f>
        <v>0</v>
      </c>
      <c r="P9" s="3">
        <f>Table6[[#This Row],[STDEV5]]/SQRT(2)</f>
        <v>0</v>
      </c>
      <c r="Q9" s="3">
        <f t="shared" si="1"/>
        <v>29.234999999999999</v>
      </c>
      <c r="S9" s="3">
        <f t="shared" si="2"/>
        <v>0.13035992457161596</v>
      </c>
      <c r="T9" s="3">
        <f t="shared" si="3"/>
        <v>3.0007378863654999E-2</v>
      </c>
      <c r="U9" s="3">
        <f t="shared" si="4"/>
        <v>0.47938017545298023</v>
      </c>
      <c r="V9" s="3">
        <f>100-(T9/T2*100)</f>
        <v>37.565699934841604</v>
      </c>
    </row>
    <row r="10" spans="1:22" x14ac:dyDescent="0.2">
      <c r="A10" s="76" t="s">
        <v>195</v>
      </c>
      <c r="B10" s="3" t="s">
        <v>103</v>
      </c>
      <c r="C10" s="3">
        <v>57.73</v>
      </c>
      <c r="D10" s="3">
        <v>57.9</v>
      </c>
      <c r="E10" s="3">
        <f t="shared" si="5"/>
        <v>57.814999999999998</v>
      </c>
      <c r="F10" s="3">
        <f t="shared" si="6"/>
        <v>0.12020815280171429</v>
      </c>
      <c r="G10" s="3">
        <v>7.18</v>
      </c>
      <c r="H10" s="3">
        <v>7.24</v>
      </c>
      <c r="I10" s="3">
        <f t="shared" si="0"/>
        <v>7.21</v>
      </c>
      <c r="J10" s="3">
        <f>STDEV(G10:H10)</f>
        <v>4.2426406871193201E-2</v>
      </c>
      <c r="K10" s="3">
        <f>Table6[[#This Row],[stdev3]]/SQRT(2)</f>
        <v>3.0000000000000245E-2</v>
      </c>
      <c r="L10" s="3">
        <v>2.1</v>
      </c>
      <c r="M10" s="3">
        <v>2.12</v>
      </c>
      <c r="N10" s="3">
        <f t="shared" si="8"/>
        <v>2.1100000000000003</v>
      </c>
      <c r="O10" s="3">
        <f t="shared" si="9"/>
        <v>1.4142135623730963E-2</v>
      </c>
      <c r="P10" s="3">
        <f>Table6[[#This Row],[STDEV5]]/SQRT(2)</f>
        <v>1.0000000000000009E-2</v>
      </c>
      <c r="Q10" s="3">
        <f t="shared" si="1"/>
        <v>32.865000000000009</v>
      </c>
      <c r="S10" s="3">
        <f t="shared" si="2"/>
        <v>0.12470812072991438</v>
      </c>
      <c r="T10" s="3">
        <f t="shared" si="3"/>
        <v>3.6495719104038753E-2</v>
      </c>
      <c r="U10" s="3">
        <f t="shared" si="4"/>
        <v>0.56845109400674587</v>
      </c>
      <c r="V10" s="3">
        <f>100-(T10/T2*100)</f>
        <v>24.065854335744206</v>
      </c>
    </row>
    <row r="11" spans="1:22" x14ac:dyDescent="0.2">
      <c r="A11" s="76" t="s">
        <v>196</v>
      </c>
      <c r="B11" s="3" t="s">
        <v>104</v>
      </c>
      <c r="C11" s="3">
        <v>71.069999999999993</v>
      </c>
      <c r="D11" s="3">
        <v>71.31</v>
      </c>
      <c r="E11" s="3">
        <f t="shared" si="5"/>
        <v>71.19</v>
      </c>
      <c r="F11" s="3">
        <f t="shared" si="6"/>
        <v>0.16970562748477783</v>
      </c>
      <c r="G11" s="3">
        <v>11.95</v>
      </c>
      <c r="H11" s="3">
        <v>12.15</v>
      </c>
      <c r="I11" s="3">
        <f t="shared" si="0"/>
        <v>12.05</v>
      </c>
      <c r="J11" s="3">
        <f t="shared" si="7"/>
        <v>0.14142135623731025</v>
      </c>
      <c r="K11" s="3">
        <f>Table6[[#This Row],[stdev3]]/SQRT(2)</f>
        <v>0.10000000000000052</v>
      </c>
      <c r="L11" s="3">
        <v>0.78</v>
      </c>
      <c r="M11" s="3">
        <v>0.73</v>
      </c>
      <c r="N11" s="3">
        <f t="shared" si="8"/>
        <v>0.755</v>
      </c>
      <c r="O11" s="3">
        <f t="shared" si="9"/>
        <v>3.5355339059327411E-2</v>
      </c>
      <c r="P11" s="3">
        <f>Table6[[#This Row],[STDEV5]]/SQRT(2)</f>
        <v>2.5000000000000022E-2</v>
      </c>
      <c r="Q11" s="3">
        <f t="shared" si="1"/>
        <v>16.00500000000001</v>
      </c>
      <c r="S11" s="3">
        <f t="shared" si="2"/>
        <v>0.16926534625649672</v>
      </c>
      <c r="T11" s="3">
        <f t="shared" si="3"/>
        <v>1.0605422109846888E-2</v>
      </c>
      <c r="U11" s="3">
        <f t="shared" si="4"/>
        <v>0.22482090181205239</v>
      </c>
      <c r="V11" s="75">
        <f>100-(T11/T2*100)</f>
        <v>77.934023850185937</v>
      </c>
    </row>
    <row r="12" spans="1:22" x14ac:dyDescent="0.2">
      <c r="A12" s="76" t="s">
        <v>197</v>
      </c>
      <c r="B12" s="75" t="s">
        <v>198</v>
      </c>
      <c r="C12" s="3">
        <v>60.77</v>
      </c>
      <c r="D12" s="3">
        <v>60.5</v>
      </c>
      <c r="E12" s="3">
        <f t="shared" si="5"/>
        <v>60.635000000000005</v>
      </c>
      <c r="F12" s="3">
        <f t="shared" si="6"/>
        <v>0.19091883092037004</v>
      </c>
      <c r="G12" s="3">
        <v>7.86</v>
      </c>
      <c r="H12" s="3">
        <v>7.9</v>
      </c>
      <c r="I12" s="3">
        <f t="shared" si="0"/>
        <v>7.8800000000000008</v>
      </c>
      <c r="J12" s="3">
        <f t="shared" si="7"/>
        <v>2.8284271247461926E-2</v>
      </c>
      <c r="K12" s="3">
        <f>Table6[[#This Row],[stdev3]]/SQRT(2)</f>
        <v>2.0000000000000018E-2</v>
      </c>
      <c r="L12" s="3">
        <v>1.85</v>
      </c>
      <c r="M12" s="3">
        <v>2.0499999999999998</v>
      </c>
      <c r="N12" s="3">
        <f t="shared" si="8"/>
        <v>1.95</v>
      </c>
      <c r="O12" s="3">
        <f t="shared" si="9"/>
        <v>0.14142135623730931</v>
      </c>
      <c r="P12" s="3">
        <f>Table6[[#This Row],[STDEV5]]/SQRT(2)</f>
        <v>9.9999999999999853E-2</v>
      </c>
      <c r="Q12" s="3">
        <f t="shared" si="1"/>
        <v>29.534999999999997</v>
      </c>
      <c r="S12" s="3">
        <f t="shared" si="2"/>
        <v>0.12995794508122371</v>
      </c>
      <c r="T12" s="3">
        <f t="shared" si="3"/>
        <v>3.2159643770099777E-2</v>
      </c>
      <c r="U12" s="3">
        <f t="shared" si="4"/>
        <v>0.48709491217943424</v>
      </c>
      <c r="V12" s="3">
        <f>100-(T12/T2*100)</f>
        <v>33.08762960423239</v>
      </c>
    </row>
    <row r="13" spans="1:22" x14ac:dyDescent="0.2">
      <c r="A13" s="76" t="s">
        <v>199</v>
      </c>
      <c r="B13" s="3" t="s">
        <v>103</v>
      </c>
      <c r="C13" s="3">
        <v>61.22</v>
      </c>
      <c r="D13" s="3">
        <v>60.35</v>
      </c>
      <c r="E13" s="3">
        <f t="shared" si="5"/>
        <v>60.784999999999997</v>
      </c>
      <c r="F13" s="3">
        <f t="shared" si="6"/>
        <v>0.61518289963229456</v>
      </c>
      <c r="G13" s="3">
        <v>7.75</v>
      </c>
      <c r="H13" s="3">
        <v>7.3</v>
      </c>
      <c r="I13" s="3">
        <f t="shared" si="0"/>
        <v>7.5250000000000004</v>
      </c>
      <c r="J13" s="3">
        <f t="shared" si="7"/>
        <v>0.31819805153394648</v>
      </c>
      <c r="K13" s="3">
        <f>Table6[[#This Row],[stdev3]]/SQRT(2)</f>
        <v>0.22500000000000006</v>
      </c>
      <c r="L13" s="3">
        <v>1.9</v>
      </c>
      <c r="M13" s="3">
        <v>1.88</v>
      </c>
      <c r="N13" s="3">
        <f t="shared" si="8"/>
        <v>1.89</v>
      </c>
      <c r="O13" s="3">
        <f t="shared" si="9"/>
        <v>1.4142135623730963E-2</v>
      </c>
      <c r="P13" s="3">
        <f>Table6[[#This Row],[STDEV5]]/SQRT(2)</f>
        <v>1.0000000000000009E-2</v>
      </c>
      <c r="Q13" s="3">
        <f t="shared" si="1"/>
        <v>29.799999999999997</v>
      </c>
      <c r="S13" s="3">
        <f t="shared" si="2"/>
        <v>0.12379698938882949</v>
      </c>
      <c r="T13" s="3">
        <f t="shared" si="3"/>
        <v>3.1093197334868799E-2</v>
      </c>
      <c r="U13" s="3">
        <f t="shared" si="4"/>
        <v>0.49025252940692604</v>
      </c>
      <c r="V13" s="3">
        <f>100-(T13/T2*100)</f>
        <v>35.306511734629822</v>
      </c>
    </row>
    <row r="14" spans="1:22" x14ac:dyDescent="0.2">
      <c r="A14" s="76" t="s">
        <v>200</v>
      </c>
      <c r="B14" s="3" t="s">
        <v>104</v>
      </c>
      <c r="C14" s="3">
        <v>69.75</v>
      </c>
      <c r="D14" s="3">
        <v>69.239999999999995</v>
      </c>
      <c r="E14" s="3">
        <f t="shared" si="5"/>
        <v>69.495000000000005</v>
      </c>
      <c r="F14" s="3">
        <f t="shared" si="6"/>
        <v>0.36062445840514284</v>
      </c>
      <c r="G14" s="3">
        <v>10.73</v>
      </c>
      <c r="H14" s="3">
        <v>11.22</v>
      </c>
      <c r="I14" s="3">
        <f t="shared" si="0"/>
        <v>10.975000000000001</v>
      </c>
      <c r="J14" s="3">
        <f t="shared" si="7"/>
        <v>0.34648232278140845</v>
      </c>
      <c r="K14" s="3">
        <f>Table6[[#This Row],[stdev3]]/SQRT(2)</f>
        <v>0.24500000000000011</v>
      </c>
      <c r="L14" s="3">
        <v>1.08</v>
      </c>
      <c r="M14" s="3">
        <v>1.06</v>
      </c>
      <c r="N14" s="3">
        <f t="shared" si="8"/>
        <v>1.07</v>
      </c>
      <c r="O14" s="3">
        <f t="shared" si="9"/>
        <v>1.4142135623730963E-2</v>
      </c>
      <c r="P14" s="3">
        <f>Table6[[#This Row],[STDEV5]]/SQRT(2)</f>
        <v>1.0000000000000009E-2</v>
      </c>
      <c r="Q14" s="3">
        <f t="shared" si="1"/>
        <v>18.460000000000008</v>
      </c>
      <c r="S14" s="3">
        <f t="shared" si="2"/>
        <v>0.15792503057773941</v>
      </c>
      <c r="T14" s="3">
        <f t="shared" si="3"/>
        <v>1.5396791136052954E-2</v>
      </c>
      <c r="U14" s="3">
        <f t="shared" si="4"/>
        <v>0.26563062090797906</v>
      </c>
      <c r="V14" s="75">
        <f>100-(T14/T2*100)</f>
        <v>67.964950147871292</v>
      </c>
    </row>
    <row r="15" spans="1:22" x14ac:dyDescent="0.2">
      <c r="A15" s="76" t="s">
        <v>201</v>
      </c>
      <c r="C15" s="3">
        <v>71.12</v>
      </c>
      <c r="D15" s="3">
        <v>71.489999999999995</v>
      </c>
      <c r="E15" s="3">
        <f t="shared" si="5"/>
        <v>71.305000000000007</v>
      </c>
      <c r="F15" s="3">
        <f t="shared" si="6"/>
        <v>0.26162950903901577</v>
      </c>
      <c r="G15" s="3">
        <v>8.66</v>
      </c>
      <c r="H15" s="3">
        <v>8.51</v>
      </c>
      <c r="I15" s="3">
        <f t="shared" si="0"/>
        <v>8.5850000000000009</v>
      </c>
      <c r="J15" s="3">
        <f t="shared" si="7"/>
        <v>0.10606601717798238</v>
      </c>
      <c r="K15" s="3">
        <f>Table6[[#This Row],[stdev3]]/SQRT(2)</f>
        <v>7.5000000000000178E-2</v>
      </c>
      <c r="L15" s="3">
        <v>0.19</v>
      </c>
      <c r="M15" s="3">
        <v>0.32</v>
      </c>
      <c r="N15" s="3">
        <f t="shared" si="8"/>
        <v>0.255</v>
      </c>
      <c r="O15" s="3">
        <f t="shared" si="9"/>
        <v>9.1923881554251255E-2</v>
      </c>
      <c r="P15" s="3">
        <f>Table6[[#This Row],[STDEV5]]/SQRT(2)</f>
        <v>6.5000000000000044E-2</v>
      </c>
      <c r="Q15" s="3">
        <f t="shared" si="1"/>
        <v>19.85499999999999</v>
      </c>
      <c r="S15" s="3">
        <f t="shared" si="2"/>
        <v>0.12039828904003927</v>
      </c>
      <c r="T15" s="3">
        <f t="shared" si="3"/>
        <v>3.576186803169483E-3</v>
      </c>
      <c r="U15" s="3">
        <f t="shared" si="4"/>
        <v>0.27845172147815705</v>
      </c>
      <c r="V15" s="3">
        <f>100-(T15/T2*100)</f>
        <v>92.559272805110737</v>
      </c>
    </row>
    <row r="16" spans="1:22" x14ac:dyDescent="0.2">
      <c r="A16" s="76" t="s">
        <v>202</v>
      </c>
      <c r="B16" s="3" t="s">
        <v>103</v>
      </c>
      <c r="C16" s="3">
        <v>55.46</v>
      </c>
      <c r="D16" s="3">
        <v>55.7</v>
      </c>
      <c r="E16" s="3">
        <f t="shared" si="5"/>
        <v>55.58</v>
      </c>
      <c r="F16" s="3">
        <f t="shared" si="6"/>
        <v>0.1697056274847728</v>
      </c>
      <c r="G16" s="3">
        <v>6.35</v>
      </c>
      <c r="H16" s="3">
        <v>6.34</v>
      </c>
      <c r="I16" s="3">
        <f t="shared" si="0"/>
        <v>6.3449999999999998</v>
      </c>
      <c r="J16" s="3">
        <f>STDEV(G16:H16)</f>
        <v>7.0710678118653244E-3</v>
      </c>
      <c r="K16" s="3">
        <f>Table6[[#This Row],[stdev3]]/SQRT(2)</f>
        <v>4.9999999999998934E-3</v>
      </c>
      <c r="L16" s="3">
        <v>0.45</v>
      </c>
      <c r="M16" s="3">
        <v>0.16</v>
      </c>
      <c r="N16" s="3">
        <f t="shared" si="8"/>
        <v>0.30499999999999999</v>
      </c>
      <c r="O16" s="3">
        <f>STDEV(L16:M16)</f>
        <v>0.20506096654409886</v>
      </c>
      <c r="P16" s="3">
        <f>Table6[[#This Row],[STDEV5]]/SQRT(2)</f>
        <v>0.14500000000000005</v>
      </c>
      <c r="Q16" s="3">
        <f t="shared" si="1"/>
        <v>37.770000000000003</v>
      </c>
      <c r="S16" s="3">
        <f t="shared" si="2"/>
        <v>0.11415976970133142</v>
      </c>
      <c r="T16" s="3">
        <f t="shared" si="3"/>
        <v>5.4875854623965452E-3</v>
      </c>
      <c r="U16" s="3">
        <f t="shared" si="4"/>
        <v>0.67956099316300833</v>
      </c>
      <c r="V16" s="3">
        <f>100-(T16/T2*100)</f>
        <v>88.582356394765256</v>
      </c>
    </row>
    <row r="17" spans="1:22" x14ac:dyDescent="0.2">
      <c r="A17" s="76" t="s">
        <v>203</v>
      </c>
      <c r="B17" s="3" t="s">
        <v>104</v>
      </c>
      <c r="C17" s="3">
        <v>72.77</v>
      </c>
      <c r="D17" s="3">
        <v>72.55</v>
      </c>
      <c r="E17" s="3">
        <f t="shared" si="5"/>
        <v>72.66</v>
      </c>
      <c r="F17" s="3">
        <f t="shared" si="6"/>
        <v>0.15556349186103965</v>
      </c>
      <c r="G17" s="3">
        <v>9.81</v>
      </c>
      <c r="H17" s="3">
        <v>10</v>
      </c>
      <c r="I17" s="3">
        <f t="shared" si="0"/>
        <v>9.9050000000000011</v>
      </c>
      <c r="J17" s="3">
        <f>STDEV(G17:H17)</f>
        <v>0.13435028842544369</v>
      </c>
      <c r="K17" s="3">
        <f>Table6[[#This Row],[stdev3]]/SQRT(2)</f>
        <v>9.4999999999999751E-2</v>
      </c>
      <c r="L17" s="3">
        <v>0.13</v>
      </c>
      <c r="M17" s="3">
        <v>0.14000000000000001</v>
      </c>
      <c r="N17" s="3">
        <f t="shared" si="8"/>
        <v>0.13500000000000001</v>
      </c>
      <c r="O17" s="3">
        <f t="shared" si="9"/>
        <v>7.0710678118654814E-3</v>
      </c>
      <c r="P17" s="3">
        <f>Table6[[#This Row],[STDEV5]]/SQRT(2)</f>
        <v>5.0000000000000044E-3</v>
      </c>
      <c r="Q17" s="3">
        <f t="shared" si="1"/>
        <v>17.299999999999997</v>
      </c>
      <c r="S17" s="3">
        <f t="shared" si="2"/>
        <v>0.13631984585741813</v>
      </c>
      <c r="T17" s="3">
        <f t="shared" si="3"/>
        <v>1.8579686209744014E-3</v>
      </c>
      <c r="U17" s="3">
        <f t="shared" si="4"/>
        <v>0.23809523809523805</v>
      </c>
      <c r="V17" s="75">
        <f>100-(T17/T2*100)</f>
        <v>96.134251814507365</v>
      </c>
    </row>
    <row r="18" spans="1:22" x14ac:dyDescent="0.2">
      <c r="A18" s="76" t="s">
        <v>204</v>
      </c>
      <c r="C18" s="3">
        <v>69.239999999999995</v>
      </c>
      <c r="D18" s="3">
        <v>68.540000000000006</v>
      </c>
      <c r="E18" s="3">
        <f t="shared" si="5"/>
        <v>68.89</v>
      </c>
      <c r="F18" s="3">
        <f t="shared" si="6"/>
        <v>0.49497474683057524</v>
      </c>
      <c r="G18" s="3">
        <v>7.92</v>
      </c>
      <c r="H18" s="3">
        <v>7.96</v>
      </c>
      <c r="I18" s="3">
        <f t="shared" si="0"/>
        <v>7.9399999999999995</v>
      </c>
      <c r="J18" s="3">
        <f>STDEV(G18:H18)</f>
        <v>2.8284271247461926E-2</v>
      </c>
      <c r="K18" s="3">
        <f>Table6[[#This Row],[stdev3]]/SQRT(2)</f>
        <v>2.0000000000000018E-2</v>
      </c>
      <c r="L18" s="3">
        <v>0.19</v>
      </c>
      <c r="M18" s="3">
        <v>0.2</v>
      </c>
      <c r="N18" s="3">
        <f t="shared" si="8"/>
        <v>0.19500000000000001</v>
      </c>
      <c r="O18" s="3">
        <f t="shared" si="9"/>
        <v>7.0710678118654814E-3</v>
      </c>
      <c r="P18" s="3">
        <f>Table6[[#This Row],[STDEV5]]/SQRT(2)</f>
        <v>5.0000000000000044E-3</v>
      </c>
      <c r="Q18" s="3">
        <f t="shared" si="1"/>
        <v>22.975000000000009</v>
      </c>
      <c r="S18" s="3">
        <f t="shared" si="2"/>
        <v>0.11525620554507185</v>
      </c>
      <c r="T18" s="3">
        <f t="shared" si="3"/>
        <v>2.8305995064595731E-3</v>
      </c>
      <c r="U18" s="3">
        <f t="shared" si="4"/>
        <v>0.33350268544055756</v>
      </c>
      <c r="V18" s="3">
        <f>100-(T18/T2*100)</f>
        <v>94.110565279507369</v>
      </c>
    </row>
    <row r="19" spans="1:22" x14ac:dyDescent="0.2">
      <c r="A19" s="76" t="s">
        <v>205</v>
      </c>
      <c r="B19" s="3" t="s">
        <v>103</v>
      </c>
      <c r="C19" s="3">
        <v>54.34</v>
      </c>
      <c r="D19" s="3">
        <v>54.23</v>
      </c>
      <c r="E19" s="3">
        <f t="shared" si="5"/>
        <v>54.284999999999997</v>
      </c>
      <c r="F19" s="3">
        <f t="shared" si="6"/>
        <v>7.7781745930524851E-2</v>
      </c>
      <c r="G19" s="3">
        <v>6.32</v>
      </c>
      <c r="H19" s="3">
        <v>6.34</v>
      </c>
      <c r="I19" s="3">
        <f t="shared" si="0"/>
        <v>6.33</v>
      </c>
      <c r="J19" s="3">
        <f t="shared" si="7"/>
        <v>1.4142135623730649E-2</v>
      </c>
      <c r="K19" s="3">
        <f>Table6[[#This Row],[stdev3]]/SQRT(2)</f>
        <v>9.9999999999997868E-3</v>
      </c>
      <c r="L19" s="3">
        <v>0.14000000000000001</v>
      </c>
      <c r="M19" s="3">
        <v>0.42</v>
      </c>
      <c r="N19" s="3">
        <f t="shared" si="8"/>
        <v>0.28000000000000003</v>
      </c>
      <c r="O19" s="3">
        <f t="shared" si="9"/>
        <v>0.19798989873223319</v>
      </c>
      <c r="P19" s="3">
        <f>Table6[[#This Row],[STDEV5]]/SQRT(2)</f>
        <v>0.1399999999999999</v>
      </c>
      <c r="Q19" s="3">
        <f t="shared" si="1"/>
        <v>39.105000000000004</v>
      </c>
      <c r="S19" s="3">
        <f t="shared" si="2"/>
        <v>0.1166067974578613</v>
      </c>
      <c r="T19" s="3">
        <f t="shared" si="3"/>
        <v>5.1579626047711163E-3</v>
      </c>
      <c r="U19" s="3">
        <f t="shared" si="4"/>
        <v>0.72036474164133746</v>
      </c>
      <c r="V19" s="3">
        <f>100-(T19/T2*100)</f>
        <v>89.268180121483596</v>
      </c>
    </row>
    <row r="20" spans="1:22" x14ac:dyDescent="0.2">
      <c r="A20" s="76" t="s">
        <v>206</v>
      </c>
      <c r="B20" s="3" t="s">
        <v>104</v>
      </c>
      <c r="C20" s="3">
        <v>73.790000000000006</v>
      </c>
      <c r="D20" s="3">
        <v>73.56</v>
      </c>
      <c r="E20" s="3">
        <f t="shared" si="5"/>
        <v>73.675000000000011</v>
      </c>
      <c r="F20" s="3">
        <f t="shared" si="6"/>
        <v>0.16263455967290874</v>
      </c>
      <c r="G20" s="3">
        <v>11.32</v>
      </c>
      <c r="H20" s="3">
        <v>11.15</v>
      </c>
      <c r="I20" s="3">
        <f t="shared" si="0"/>
        <v>11.234999999999999</v>
      </c>
      <c r="J20" s="3">
        <f t="shared" si="7"/>
        <v>0.12020815280171303</v>
      </c>
      <c r="K20" s="3">
        <f>Table6[[#This Row],[stdev3]]/SQRT(2)</f>
        <v>8.4999999999999964E-2</v>
      </c>
      <c r="L20" s="3">
        <v>0.1</v>
      </c>
      <c r="M20" s="3">
        <v>0.1</v>
      </c>
      <c r="N20" s="3">
        <f t="shared" si="8"/>
        <v>0.1</v>
      </c>
      <c r="O20" s="3">
        <f t="shared" si="9"/>
        <v>0</v>
      </c>
      <c r="P20" s="3">
        <f>Table6[[#This Row],[STDEV5]]/SQRT(2)</f>
        <v>0</v>
      </c>
      <c r="Q20" s="3">
        <f t="shared" si="1"/>
        <v>14.989999999999995</v>
      </c>
      <c r="S20" s="3">
        <f t="shared" si="2"/>
        <v>0.15249406175771968</v>
      </c>
      <c r="T20" s="3">
        <f t="shared" si="3"/>
        <v>1.357312521208008E-3</v>
      </c>
      <c r="U20" s="3">
        <f t="shared" si="4"/>
        <v>0.20346114692908032</v>
      </c>
      <c r="V20" s="75">
        <f>100-(T20/T2*100)</f>
        <v>97.175932705873947</v>
      </c>
    </row>
    <row r="21" spans="1:22" x14ac:dyDescent="0.2">
      <c r="A21" s="77" t="s">
        <v>207</v>
      </c>
      <c r="C21" s="3">
        <v>69.150000000000006</v>
      </c>
      <c r="D21" s="3">
        <v>68.98</v>
      </c>
      <c r="E21" s="3">
        <f t="shared" si="5"/>
        <v>69.064999999999998</v>
      </c>
      <c r="F21" s="3">
        <f t="shared" si="6"/>
        <v>0.12020815280171428</v>
      </c>
      <c r="G21" s="3">
        <v>7.02</v>
      </c>
      <c r="H21" s="3">
        <v>6.89</v>
      </c>
      <c r="I21" s="3">
        <f t="shared" si="0"/>
        <v>6.9550000000000001</v>
      </c>
      <c r="J21" s="3">
        <f t="shared" si="7"/>
        <v>9.1923881554251102E-2</v>
      </c>
      <c r="K21" s="3">
        <f>Table6[[#This Row],[stdev3]]/SQRT(2)</f>
        <v>6.4999999999999947E-2</v>
      </c>
      <c r="L21" s="3">
        <v>2.92</v>
      </c>
      <c r="M21" s="3">
        <v>2.9</v>
      </c>
      <c r="N21" s="3">
        <f t="shared" si="8"/>
        <v>2.91</v>
      </c>
      <c r="O21" s="3">
        <f t="shared" si="9"/>
        <v>1.4142135623730963E-2</v>
      </c>
      <c r="P21" s="3">
        <f>Table6[[#This Row],[STDEV5]]/SQRT(2)</f>
        <v>1.0000000000000009E-2</v>
      </c>
      <c r="Q21" s="3">
        <f t="shared" si="1"/>
        <v>21.070000000000007</v>
      </c>
      <c r="S21" s="3">
        <f t="shared" si="2"/>
        <v>0.10070223702309419</v>
      </c>
      <c r="T21" s="3">
        <f t="shared" si="3"/>
        <v>4.2134221385651205E-2</v>
      </c>
      <c r="U21" s="3">
        <f t="shared" si="4"/>
        <v>0.30507492941431996</v>
      </c>
      <c r="V21" s="3">
        <f>100-(T21/T2*100)</f>
        <v>12.334208430654542</v>
      </c>
    </row>
    <row r="22" spans="1:22" x14ac:dyDescent="0.2">
      <c r="A22" s="75" t="s">
        <v>208</v>
      </c>
      <c r="B22" s="3" t="s">
        <v>103</v>
      </c>
      <c r="C22" s="3">
        <v>65.790000000000006</v>
      </c>
      <c r="D22" s="3">
        <v>66.86</v>
      </c>
      <c r="E22" s="3">
        <f t="shared" si="5"/>
        <v>66.325000000000003</v>
      </c>
      <c r="F22" s="3">
        <f t="shared" si="6"/>
        <v>0.75660425586960101</v>
      </c>
      <c r="G22" s="3">
        <v>5.43</v>
      </c>
      <c r="H22" s="3">
        <v>5.59</v>
      </c>
      <c r="I22" s="3">
        <f t="shared" si="0"/>
        <v>5.51</v>
      </c>
      <c r="J22" s="3">
        <f t="shared" si="7"/>
        <v>0.1131370849898477</v>
      </c>
      <c r="K22" s="3">
        <f>Table6[[#This Row],[stdev3]]/SQRT(2)</f>
        <v>8.0000000000000071E-2</v>
      </c>
      <c r="L22" s="3">
        <v>3.81</v>
      </c>
      <c r="M22" s="3">
        <v>3.86</v>
      </c>
      <c r="N22" s="3">
        <f t="shared" si="8"/>
        <v>3.835</v>
      </c>
      <c r="O22" s="3">
        <f t="shared" si="9"/>
        <v>3.5355339059327251E-2</v>
      </c>
      <c r="P22" s="3">
        <f>Table6[[#This Row],[STDEV5]]/SQRT(2)</f>
        <v>2.4999999999999911E-2</v>
      </c>
      <c r="Q22" s="3">
        <f t="shared" si="1"/>
        <v>24.33</v>
      </c>
      <c r="S22" s="3">
        <f t="shared" si="2"/>
        <v>8.3075763286845072E-2</v>
      </c>
      <c r="T22" s="3">
        <f t="shared" si="3"/>
        <v>5.7821334338484728E-2</v>
      </c>
      <c r="U22" s="3">
        <f t="shared" si="4"/>
        <v>0.36683000376931774</v>
      </c>
      <c r="V22" s="3">
        <f>100-(T22/T2*100)</f>
        <v>-20.304894161525169</v>
      </c>
    </row>
    <row r="23" spans="1:22" x14ac:dyDescent="0.2">
      <c r="A23" s="75" t="s">
        <v>209</v>
      </c>
      <c r="B23" s="3" t="s">
        <v>104</v>
      </c>
      <c r="C23" s="3">
        <v>74.13</v>
      </c>
      <c r="D23" s="3">
        <v>73.52</v>
      </c>
      <c r="E23" s="3">
        <f t="shared" si="5"/>
        <v>73.824999999999989</v>
      </c>
      <c r="F23" s="3">
        <f t="shared" si="6"/>
        <v>0.43133513652379357</v>
      </c>
      <c r="G23" s="3">
        <v>11.67</v>
      </c>
      <c r="H23" s="3">
        <v>11.91</v>
      </c>
      <c r="I23" s="3">
        <f t="shared" si="0"/>
        <v>11.79</v>
      </c>
      <c r="J23" s="3">
        <f t="shared" si="7"/>
        <v>0.16970562748477155</v>
      </c>
      <c r="K23" s="3">
        <f>Table6[[#This Row],[stdev3]]/SQRT(2)</f>
        <v>0.12000000000000009</v>
      </c>
      <c r="L23" s="3">
        <v>1.23</v>
      </c>
      <c r="M23" s="3">
        <v>1.25</v>
      </c>
      <c r="N23" s="3">
        <f t="shared" si="8"/>
        <v>1.24</v>
      </c>
      <c r="O23" s="3">
        <f t="shared" si="9"/>
        <v>1.4142135623730963E-2</v>
      </c>
      <c r="P23" s="3">
        <f>Table6[[#This Row],[STDEV5]]/SQRT(2)</f>
        <v>1.0000000000000009E-2</v>
      </c>
      <c r="Q23" s="3">
        <f t="shared" si="1"/>
        <v>13.145000000000024</v>
      </c>
      <c r="S23" s="3">
        <f t="shared" si="2"/>
        <v>0.15970199796816797</v>
      </c>
      <c r="T23" s="3">
        <f t="shared" si="3"/>
        <v>1.6796478157805623E-2</v>
      </c>
      <c r="U23" s="3">
        <f t="shared" si="4"/>
        <v>0.17805621401964139</v>
      </c>
      <c r="V23" s="75">
        <f>100-(T23/T2*100)</f>
        <v>65.052717129769903</v>
      </c>
    </row>
    <row r="24" spans="1:22" x14ac:dyDescent="0.2">
      <c r="A24" s="77" t="s">
        <v>210</v>
      </c>
      <c r="C24" s="3">
        <v>68.75</v>
      </c>
      <c r="D24" s="3">
        <v>68.31</v>
      </c>
      <c r="E24" s="3">
        <f t="shared" si="5"/>
        <v>68.53</v>
      </c>
      <c r="F24" s="3">
        <f t="shared" si="6"/>
        <v>0.31112698372207931</v>
      </c>
      <c r="G24" s="3">
        <v>6.89</v>
      </c>
      <c r="H24" s="3">
        <v>7.3</v>
      </c>
      <c r="I24" s="3">
        <f t="shared" si="0"/>
        <v>7.0949999999999998</v>
      </c>
      <c r="J24" s="3">
        <f>STDEV(G24:H24)</f>
        <v>0.28991378028648457</v>
      </c>
      <c r="K24" s="3">
        <f>Table6[[#This Row],[stdev3]]/SQRT(2)</f>
        <v>0.20500000000000004</v>
      </c>
      <c r="L24" s="3">
        <v>3.1</v>
      </c>
      <c r="M24" s="3">
        <v>3.06</v>
      </c>
      <c r="N24" s="3">
        <f t="shared" si="8"/>
        <v>3.08</v>
      </c>
      <c r="O24" s="3">
        <f t="shared" si="9"/>
        <v>2.8284271247461926E-2</v>
      </c>
      <c r="P24" s="3">
        <f>Table6[[#This Row],[STDEV5]]/SQRT(2)</f>
        <v>2.0000000000000018E-2</v>
      </c>
      <c r="Q24" s="3">
        <f t="shared" si="1"/>
        <v>21.295000000000002</v>
      </c>
      <c r="S24" s="3">
        <f t="shared" si="2"/>
        <v>0.10353130016051364</v>
      </c>
      <c r="T24" s="3">
        <f t="shared" si="3"/>
        <v>4.49438202247191E-2</v>
      </c>
      <c r="U24" s="3">
        <f t="shared" si="4"/>
        <v>0.31073982197577704</v>
      </c>
      <c r="V24" s="3">
        <f>100-(T24/T2*100)</f>
        <v>6.4884683619160199</v>
      </c>
    </row>
    <row r="25" spans="1:22" x14ac:dyDescent="0.2">
      <c r="A25" s="83" t="s">
        <v>211</v>
      </c>
      <c r="B25" s="3" t="s">
        <v>103</v>
      </c>
      <c r="C25" s="3">
        <v>66.77</v>
      </c>
      <c r="D25" s="3">
        <v>65.87</v>
      </c>
      <c r="E25" s="3">
        <f>AVERAGE(C25:D25)</f>
        <v>66.319999999999993</v>
      </c>
      <c r="F25" s="3">
        <f>STDEV(C25:D25)</f>
        <v>0.63639610306788674</v>
      </c>
      <c r="G25" s="3">
        <v>5.35</v>
      </c>
      <c r="H25" s="3">
        <v>5.4</v>
      </c>
      <c r="I25" s="3">
        <f t="shared" si="0"/>
        <v>5.375</v>
      </c>
      <c r="J25" s="3">
        <f>STDEV(G25:H25)</f>
        <v>3.5355339059327882E-2</v>
      </c>
      <c r="K25" s="3">
        <f>Table6[[#This Row],[stdev3]]/SQRT(2)</f>
        <v>2.5000000000000355E-2</v>
      </c>
      <c r="L25" s="3">
        <v>3.8</v>
      </c>
      <c r="M25" s="3">
        <v>3.76</v>
      </c>
      <c r="N25" s="3">
        <f>AVERAGE(L25:M25)</f>
        <v>3.78</v>
      </c>
      <c r="O25" s="3">
        <f>STDEV(L25:M25)</f>
        <v>2.8284271247461926E-2</v>
      </c>
      <c r="P25" s="3">
        <f>Table6[[#This Row],[STDEV5]]/SQRT(2)</f>
        <v>2.0000000000000018E-2</v>
      </c>
      <c r="Q25" s="3">
        <f t="shared" si="1"/>
        <v>24.525000000000006</v>
      </c>
      <c r="S25" s="3">
        <f t="shared" si="2"/>
        <v>8.1046441495778054E-2</v>
      </c>
      <c r="T25" s="3">
        <f t="shared" si="3"/>
        <v>5.6996381182147171E-2</v>
      </c>
      <c r="U25" s="3">
        <f t="shared" si="4"/>
        <v>0.36979794933655019</v>
      </c>
      <c r="V25" s="3">
        <f>100-(T25/T2*100)</f>
        <v>-18.588470573296959</v>
      </c>
    </row>
    <row r="26" spans="1:22" x14ac:dyDescent="0.2">
      <c r="A26" s="3" t="s">
        <v>212</v>
      </c>
      <c r="B26" s="3" t="s">
        <v>104</v>
      </c>
      <c r="C26" s="3">
        <v>73.05</v>
      </c>
      <c r="D26" s="3">
        <v>72.959999999999994</v>
      </c>
      <c r="E26" s="3">
        <f>AVERAGE(C26:D26)</f>
        <v>73.004999999999995</v>
      </c>
      <c r="F26" s="3">
        <f>STDEV(C26:D26)</f>
        <v>6.3639610306791689E-2</v>
      </c>
      <c r="G26" s="3">
        <v>11.3</v>
      </c>
      <c r="H26" s="3">
        <v>11.71</v>
      </c>
      <c r="I26" s="3">
        <f t="shared" si="0"/>
        <v>11.505000000000001</v>
      </c>
      <c r="J26" s="3">
        <f>STDEV(G26:H26)</f>
        <v>0.28991378028648457</v>
      </c>
      <c r="K26" s="3">
        <f>Table6[[#This Row],[stdev3]]/SQRT(2)</f>
        <v>0.20500000000000004</v>
      </c>
      <c r="L26" s="3">
        <v>1.51</v>
      </c>
      <c r="M26" s="3">
        <v>1.62</v>
      </c>
      <c r="N26" s="3">
        <f>AVERAGE(L26:M26)</f>
        <v>1.5649999999999999</v>
      </c>
      <c r="O26" s="3">
        <f>STDEV(L26:M26)</f>
        <v>7.7781745930520299E-2</v>
      </c>
      <c r="P26" s="3">
        <f>Table6[[#This Row],[STDEV5]]/SQRT(2)</f>
        <v>5.5000000000000049E-2</v>
      </c>
      <c r="Q26" s="3">
        <f t="shared" si="1"/>
        <v>13.925000000000011</v>
      </c>
      <c r="S26" s="3">
        <f t="shared" si="2"/>
        <v>0.15759194575713995</v>
      </c>
      <c r="T26" s="3">
        <f t="shared" si="3"/>
        <v>2.1436887884391482E-2</v>
      </c>
      <c r="U26" s="3">
        <f t="shared" si="4"/>
        <v>0.19074036024929816</v>
      </c>
      <c r="V26" s="75">
        <f>100-(T26/T2*100)</f>
        <v>55.397734113380835</v>
      </c>
    </row>
    <row r="27" spans="1:22" x14ac:dyDescent="0.2">
      <c r="A27" s="84" t="s">
        <v>217</v>
      </c>
      <c r="C27" s="3">
        <v>65.84</v>
      </c>
      <c r="G27" s="3">
        <v>5.61</v>
      </c>
      <c r="K27" s="3">
        <f>Table6[[#This Row],[stdev3]]/SQRT(2)</f>
        <v>0</v>
      </c>
      <c r="L27" s="3">
        <v>3.98</v>
      </c>
      <c r="P27" s="3">
        <f>Table6[[#This Row],[STDEV5]]/SQRT(2)</f>
        <v>0</v>
      </c>
    </row>
    <row r="28" spans="1:22" x14ac:dyDescent="0.2">
      <c r="A28" s="84" t="s">
        <v>218</v>
      </c>
      <c r="C28" s="3">
        <v>66.040000000000006</v>
      </c>
      <c r="G28" s="3">
        <v>5.64</v>
      </c>
      <c r="K28" s="3">
        <f>Table6[[#This Row],[stdev3]]/SQRT(2)</f>
        <v>0</v>
      </c>
      <c r="L28" s="3">
        <v>3.92</v>
      </c>
      <c r="P28" s="3">
        <f>Table6[[#This Row],[STDEV5]]/SQRT(2)</f>
        <v>0</v>
      </c>
    </row>
    <row r="29" spans="1:22" x14ac:dyDescent="0.2">
      <c r="A29" s="84" t="s">
        <v>219</v>
      </c>
      <c r="C29" s="3">
        <v>66.400000000000006</v>
      </c>
      <c r="G29" s="3">
        <v>5.62</v>
      </c>
      <c r="K29" s="3">
        <f>Table6[[#This Row],[stdev3]]/SQRT(2)</f>
        <v>0</v>
      </c>
      <c r="L29" s="3">
        <v>3.96</v>
      </c>
      <c r="P29" s="3">
        <f>Table6[[#This Row],[STDEV5]]/SQRT(2)</f>
        <v>0</v>
      </c>
    </row>
    <row r="30" spans="1:22" x14ac:dyDescent="0.2">
      <c r="A30" s="84" t="s">
        <v>220</v>
      </c>
      <c r="E30" s="3">
        <f>AVERAGE(C27:C29)</f>
        <v>66.093333333333334</v>
      </c>
      <c r="F30" s="3">
        <f>STDEV(C27:C29)</f>
        <v>0.28378395538390444</v>
      </c>
      <c r="I30" s="3">
        <f>AVERAGE(G27:G29)</f>
        <v>5.623333333333334</v>
      </c>
      <c r="J30" s="3">
        <f>STDEV(G27:G29)</f>
        <v>1.527525231651914E-2</v>
      </c>
      <c r="K30" s="3">
        <f>Table6[[#This Row],[stdev3]]/SQRT(2)</f>
        <v>1.0801234497346202E-2</v>
      </c>
      <c r="N30" s="3">
        <f>AVERAGE(L27:L29)</f>
        <v>3.9533333333333331</v>
      </c>
      <c r="O30" s="3">
        <f>STDEV(L27:L29)</f>
        <v>3.0550504633038961E-2</v>
      </c>
      <c r="P30" s="3">
        <f>Table6[[#This Row],[STDEV5]]/SQRT(2)</f>
        <v>2.1602468994692887E-2</v>
      </c>
      <c r="Q30" s="3">
        <f>100-(Table6[[#This Row],[N Average ]]+Table6[[#This Row],[H Average ]]+Table6[[#This Row],[C Average ]])</f>
        <v>24.33</v>
      </c>
      <c r="S30" s="3">
        <f>Table6[[#This Row],[H Average ]]/Table6[[#This Row],[C Average ]]</f>
        <v>8.5081702642727464E-2</v>
      </c>
      <c r="T30" s="3">
        <f>Table6[[#This Row],[N Average ]]/Table6[[#This Row],[C Average ]]</f>
        <v>5.9814403873310468E-2</v>
      </c>
      <c r="U30" s="3">
        <f>Table6[[#This Row],[O]]/Table6[[#This Row],[C Average ]]</f>
        <v>0.36811579584426063</v>
      </c>
    </row>
    <row r="31" spans="1:22" x14ac:dyDescent="0.2">
      <c r="A31" s="84" t="s">
        <v>268</v>
      </c>
      <c r="E31" s="3">
        <f>'SWE_178 ultimate'!I153</f>
        <v>58.23306199567174</v>
      </c>
      <c r="I31" s="3">
        <f>'SWE_178 ultimate'!J153</f>
        <v>7.809756499026598</v>
      </c>
      <c r="K31" s="65">
        <f>Table6[[#This Row],[stdev3]]/SQRT(2)</f>
        <v>0</v>
      </c>
      <c r="N31" s="3">
        <f>'SWE_178 ultimate'!K153</f>
        <v>2.5051847820897821</v>
      </c>
      <c r="P31" s="65">
        <f>Table6[[#This Row],[STDEV5]]/SQRT(2)</f>
        <v>0</v>
      </c>
      <c r="Q31" s="3">
        <f>'SWE_178 ultimate'!L153</f>
        <v>31.451996723211867</v>
      </c>
    </row>
    <row r="32" spans="1:22" x14ac:dyDescent="0.2">
      <c r="A32" s="84" t="s">
        <v>270</v>
      </c>
      <c r="E32" s="66">
        <f>'PE ultimate'!J19</f>
        <v>56.696072385173309</v>
      </c>
      <c r="I32" s="66">
        <f>'PE ultimate'!K19</f>
        <v>7.972360511765503</v>
      </c>
      <c r="K32" s="65">
        <f>Table6[[#This Row],[stdev3]]/SQRT(2)</f>
        <v>0</v>
      </c>
      <c r="N32" s="66">
        <f>'PE ultimate'!L19</f>
        <v>1.5365103047355744</v>
      </c>
      <c r="P32" s="65">
        <f>Table6[[#This Row],[STDEV5]]/SQRT(2)</f>
        <v>0</v>
      </c>
      <c r="Q32" s="66">
        <f>'PE ultimate'!M19</f>
        <v>33.795056798325618</v>
      </c>
    </row>
    <row r="33" spans="1:17" ht="10.8" thickBot="1" x14ac:dyDescent="0.25">
      <c r="A33" s="3" t="s">
        <v>269</v>
      </c>
      <c r="E33" s="66">
        <f>'PE ultimate'!J20</f>
        <v>47.877867593914644</v>
      </c>
      <c r="I33" s="66">
        <f>'PE ultimate'!K20</f>
        <v>7.7158813822607648</v>
      </c>
      <c r="J33" s="3" t="s">
        <v>102</v>
      </c>
      <c r="N33" s="66">
        <f>'PE ultimate'!L20</f>
        <v>0.18507110141574784</v>
      </c>
      <c r="Q33" s="66">
        <f>'PE ultimate'!M20</f>
        <v>44.221179922408837</v>
      </c>
    </row>
    <row r="34" spans="1:17" x14ac:dyDescent="0.2">
      <c r="B34" s="85" t="s">
        <v>90</v>
      </c>
      <c r="C34" s="85"/>
      <c r="D34" s="85"/>
      <c r="E34" s="85"/>
      <c r="F34" s="85"/>
      <c r="G34" s="85"/>
      <c r="H34" s="86"/>
      <c r="I34" s="87" t="s">
        <v>95</v>
      </c>
      <c r="J34" s="88"/>
      <c r="K34" s="88"/>
      <c r="L34" s="88"/>
      <c r="M34" s="89"/>
    </row>
    <row r="35" spans="1:17" x14ac:dyDescent="0.2">
      <c r="A35" s="90" t="s">
        <v>0</v>
      </c>
      <c r="B35" s="3" t="s">
        <v>92</v>
      </c>
      <c r="C35" s="3" t="s">
        <v>91</v>
      </c>
      <c r="D35" s="3" t="s">
        <v>93</v>
      </c>
      <c r="E35" s="3" t="s">
        <v>94</v>
      </c>
      <c r="F35" s="3" t="s">
        <v>9</v>
      </c>
      <c r="G35" s="3" t="s">
        <v>10</v>
      </c>
      <c r="H35" s="3" t="s">
        <v>11</v>
      </c>
      <c r="I35" s="91" t="s">
        <v>96</v>
      </c>
      <c r="J35" s="92" t="s">
        <v>97</v>
      </c>
      <c r="K35" s="92" t="s">
        <v>98</v>
      </c>
      <c r="L35" s="92" t="s">
        <v>99</v>
      </c>
      <c r="M35" s="93" t="s">
        <v>100</v>
      </c>
    </row>
    <row r="36" spans="1:17" x14ac:dyDescent="0.2">
      <c r="A36" s="94" t="str">
        <f t="shared" ref="A36:A60" si="10">A2</f>
        <v>RAW</v>
      </c>
      <c r="B36" s="3">
        <f t="shared" ref="B36:B58" si="11">E2</f>
        <v>49.414999999999999</v>
      </c>
      <c r="C36" s="3">
        <f t="shared" ref="C36:C58" si="12">I2</f>
        <v>7.2149999999999999</v>
      </c>
      <c r="D36" s="3">
        <f t="shared" ref="D36:D58" si="13">N2</f>
        <v>2.375</v>
      </c>
      <c r="E36" s="3">
        <f t="shared" ref="E36:E58" si="14">Q2</f>
        <v>40.995000000000005</v>
      </c>
      <c r="F36" s="3">
        <f t="shared" ref="F36:F60" si="15">S2</f>
        <v>0.14600829707578669</v>
      </c>
      <c r="G36" s="3">
        <f t="shared" ref="G36:G60" si="16">T2</f>
        <v>4.8062329252251339E-2</v>
      </c>
      <c r="H36" s="3">
        <f t="shared" ref="H36:H60" si="17">U2</f>
        <v>0.82960639481938692</v>
      </c>
      <c r="I36" s="95">
        <f>Table7[[#This Row],[C (As received)]]*Table7[[#This Row],[100/(100*Moisture content as received)]]</f>
        <v>53.011854315292602</v>
      </c>
      <c r="J36" s="96">
        <f>Table7[[#This Row],[H (As received)]]*Table7[[#This Row],[100/(100*Moisture content as received)]]</f>
        <v>7.7401705734055675</v>
      </c>
      <c r="K36" s="96">
        <f>Table7[[#This Row],[N (As received)]]*Table7[[#This Row],[100/(100*Moisture content as received)]]</f>
        <v>2.547873196373974</v>
      </c>
      <c r="L36" s="96">
        <f>100-Table7[[#This Row],[N(dry basis)]]-Table7[[#This Row],[H (dry basis)]]-Table7[[#This Row],[C (dry basis)]]</f>
        <v>36.700101914927863</v>
      </c>
      <c r="M36" s="97">
        <v>1.0727887142627259</v>
      </c>
    </row>
    <row r="37" spans="1:17" x14ac:dyDescent="0.2">
      <c r="A37" s="98" t="str">
        <f t="shared" si="10"/>
        <v>HTC 223 SWE A</v>
      </c>
      <c r="B37" s="3">
        <f t="shared" si="11"/>
        <v>68.515000000000001</v>
      </c>
      <c r="C37" s="3">
        <f t="shared" si="12"/>
        <v>7.85</v>
      </c>
      <c r="D37" s="3">
        <f t="shared" si="13"/>
        <v>2.5449999999999999</v>
      </c>
      <c r="E37" s="3">
        <f t="shared" si="14"/>
        <v>21.090000000000003</v>
      </c>
      <c r="F37" s="3">
        <f>S3</f>
        <v>0.11457345106910895</v>
      </c>
      <c r="G37" s="3">
        <f t="shared" si="16"/>
        <v>3.7145150696927677E-2</v>
      </c>
      <c r="H37" s="3">
        <f t="shared" si="17"/>
        <v>0.30781580675764436</v>
      </c>
      <c r="I37" s="95">
        <f>Table7[[#This Row],[C (As received)]]*Table7[[#This Row],[100/(100*Moisture content as received)]]</f>
        <v>69.432902977360712</v>
      </c>
      <c r="J37" s="96">
        <f>Table7[[#This Row],[H (As received)]]*Table7[[#This Row],[100/(100*Moisture content as received)]]</f>
        <v>7.9551673118628266</v>
      </c>
      <c r="K37" s="96">
        <f>Table7[[#This Row],[N (As received)]]*Table7[[#This Row],[100/(100*Moisture content as received)]]</f>
        <v>2.5790956444192221</v>
      </c>
      <c r="L37" s="96">
        <f>100-Table7[[#This Row],[N(dry basis)]]-Table7[[#This Row],[H (dry basis)]]-Table7[[#This Row],[C (dry basis)]]</f>
        <v>20.032834066357239</v>
      </c>
      <c r="M37" s="97">
        <v>1.0133971097914429</v>
      </c>
    </row>
    <row r="38" spans="1:17" x14ac:dyDescent="0.2">
      <c r="A38" s="98" t="str">
        <f t="shared" si="10"/>
        <v>HTC 223 SWE A PC</v>
      </c>
      <c r="B38" s="3">
        <f t="shared" si="11"/>
        <v>63.594999999999999</v>
      </c>
      <c r="C38" s="3">
        <f t="shared" si="12"/>
        <v>5.43</v>
      </c>
      <c r="D38" s="3">
        <f t="shared" si="13"/>
        <v>3.3849999999999998</v>
      </c>
      <c r="E38" s="3">
        <f t="shared" si="14"/>
        <v>27.589999999999989</v>
      </c>
      <c r="F38" s="3">
        <f t="shared" si="15"/>
        <v>8.5384071074770029E-2</v>
      </c>
      <c r="G38" s="3">
        <f t="shared" si="16"/>
        <v>5.322745498859973E-2</v>
      </c>
      <c r="H38" s="3">
        <f t="shared" si="17"/>
        <v>0.43383913829703574</v>
      </c>
      <c r="I38" s="95">
        <f>Table7[[#This Row],[C (As received)]]*Table7[[#This Row],[100/(100*Moisture content as received)]]</f>
        <v>67.143535870770194</v>
      </c>
      <c r="J38" s="96">
        <f>Table7[[#This Row],[H (As received)]]*Table7[[#This Row],[100/(100*Moisture content as received)]]</f>
        <v>5.7329884390012129</v>
      </c>
      <c r="K38" s="96">
        <f>Table7[[#This Row],[N (As received)]]*Table7[[#This Row],[100/(100*Moisture content as received)]]</f>
        <v>3.5738795333368518</v>
      </c>
      <c r="L38" s="96">
        <f>100-Table7[[#This Row],[N(dry basis)]]-Table7[[#This Row],[H (dry basis)]]-Table7[[#This Row],[C (dry basis)]]</f>
        <v>23.549596156891738</v>
      </c>
      <c r="M38" s="97">
        <v>1.0557989758749933</v>
      </c>
    </row>
    <row r="39" spans="1:17" x14ac:dyDescent="0.2">
      <c r="A39" s="98" t="str">
        <f t="shared" si="10"/>
        <v>HTC 223 SWE A SC</v>
      </c>
      <c r="B39" s="3">
        <f t="shared" si="11"/>
        <v>74.639999999999986</v>
      </c>
      <c r="C39" s="3">
        <f t="shared" si="12"/>
        <v>12.254999999999999</v>
      </c>
      <c r="D39" s="3">
        <f t="shared" si="13"/>
        <v>0.755</v>
      </c>
      <c r="E39" s="3">
        <f t="shared" si="14"/>
        <v>12.350000000000023</v>
      </c>
      <c r="F39" s="3">
        <f t="shared" si="15"/>
        <v>0.16418810289389069</v>
      </c>
      <c r="G39" s="3">
        <f t="shared" si="16"/>
        <v>1.0115219721329049E-2</v>
      </c>
      <c r="H39" s="3">
        <f t="shared" si="17"/>
        <v>0.16546087888531652</v>
      </c>
      <c r="I39" s="95">
        <f>Table7[[#This Row],[C (As received)]]*Table7[[#This Row],[100/(100*Moisture content as received)]]</f>
        <v>74.639999999999986</v>
      </c>
      <c r="J39" s="96">
        <f>Table7[[#This Row],[H (As received)]]*Table7[[#This Row],[100/(100*Moisture content as received)]]</f>
        <v>12.254999999999999</v>
      </c>
      <c r="K39" s="96">
        <f>Table7[[#This Row],[N (As received)]]*Table7[[#This Row],[100/(100*Moisture content as received)]]</f>
        <v>0.755</v>
      </c>
      <c r="L39" s="96">
        <f>100-Table7[[#This Row],[N(dry basis)]]-Table7[[#This Row],[H (dry basis)]]-Table7[[#This Row],[C (dry basis)]]</f>
        <v>12.350000000000023</v>
      </c>
      <c r="M39" s="97">
        <v>1</v>
      </c>
    </row>
    <row r="40" spans="1:17" x14ac:dyDescent="0.2">
      <c r="A40" s="98" t="str">
        <f t="shared" si="10"/>
        <v>HTC 223 SWE B</v>
      </c>
      <c r="B40" s="3">
        <f t="shared" si="11"/>
        <v>68.14500000000001</v>
      </c>
      <c r="C40" s="3">
        <f t="shared" si="12"/>
        <v>7.4349999999999996</v>
      </c>
      <c r="D40" s="3">
        <f t="shared" si="13"/>
        <v>2.625</v>
      </c>
      <c r="E40" s="3">
        <f t="shared" si="14"/>
        <v>21.794999999999987</v>
      </c>
      <c r="F40" s="3">
        <f t="shared" si="15"/>
        <v>0.10910558368185484</v>
      </c>
      <c r="G40" s="3">
        <f t="shared" si="16"/>
        <v>3.8520801232665637E-2</v>
      </c>
      <c r="H40" s="3">
        <f t="shared" si="17"/>
        <v>0.31983270966321792</v>
      </c>
      <c r="I40" s="95">
        <f>Table7[[#This Row],[C (As received)]]*Table7[[#This Row],[100/(100*Moisture content as received)]]</f>
        <v>68.818040435458798</v>
      </c>
      <c r="J40" s="96">
        <f>Table7[[#This Row],[H (As received)]]*Table7[[#This Row],[100/(100*Moisture content as received)]]</f>
        <v>7.5084324695522202</v>
      </c>
      <c r="K40" s="96">
        <f>Table7[[#This Row],[N (As received)]]*Table7[[#This Row],[100/(100*Moisture content as received)]]</f>
        <v>2.6509260568358544</v>
      </c>
      <c r="L40" s="96">
        <f>100-Table7[[#This Row],[N(dry basis)]]-Table7[[#This Row],[H (dry basis)]]-Table7[[#This Row],[C (dry basis)]]</f>
        <v>21.022601038153127</v>
      </c>
      <c r="M40" s="97">
        <v>1.0098765930803255</v>
      </c>
    </row>
    <row r="41" spans="1:17" x14ac:dyDescent="0.2">
      <c r="A41" s="98" t="str">
        <f t="shared" si="10"/>
        <v>HTC 223 SWE B PC</v>
      </c>
      <c r="B41" s="3">
        <f t="shared" si="11"/>
        <v>63.765000000000001</v>
      </c>
      <c r="C41" s="3">
        <f t="shared" si="12"/>
        <v>5.8800000000000008</v>
      </c>
      <c r="D41" s="3">
        <f t="shared" si="13"/>
        <v>3.64</v>
      </c>
      <c r="E41" s="3">
        <f t="shared" si="14"/>
        <v>26.715000000000003</v>
      </c>
      <c r="F41" s="3">
        <f t="shared" si="15"/>
        <v>9.2213596800752778E-2</v>
      </c>
      <c r="G41" s="3">
        <f t="shared" si="16"/>
        <v>5.7084607543323139E-2</v>
      </c>
      <c r="H41" s="3">
        <f t="shared" si="17"/>
        <v>0.4189602446483181</v>
      </c>
      <c r="I41" s="95">
        <f>Table7[[#This Row],[C (As received)]]*Table7[[#This Row],[100/(100*Moisture content as received)]]</f>
        <v>67.2889207813176</v>
      </c>
      <c r="J41" s="96">
        <f>Table7[[#This Row],[H (As received)]]*Table7[[#This Row],[100/(100*Moisture content as received)]]</f>
        <v>6.2049534100862154</v>
      </c>
      <c r="K41" s="96">
        <f>Table7[[#This Row],[N (As received)]]*Table7[[#This Row],[100/(100*Moisture content as received)]]</f>
        <v>3.8411616348152759</v>
      </c>
      <c r="L41" s="96">
        <f>100-Table7[[#This Row],[N(dry basis)]]-Table7[[#This Row],[H (dry basis)]]-Table7[[#This Row],[C (dry basis)]]</f>
        <v>22.664964173780902</v>
      </c>
      <c r="M41" s="97">
        <v>1.0552641853888121</v>
      </c>
    </row>
    <row r="42" spans="1:17" x14ac:dyDescent="0.2">
      <c r="A42" s="94" t="str">
        <f t="shared" si="10"/>
        <v>HTC 223 SWE B SC</v>
      </c>
      <c r="B42" s="3">
        <f t="shared" si="11"/>
        <v>74.894999999999996</v>
      </c>
      <c r="C42" s="3">
        <f t="shared" si="12"/>
        <v>12.190000000000001</v>
      </c>
      <c r="D42" s="3">
        <f t="shared" si="13"/>
        <v>0.73499999999999999</v>
      </c>
      <c r="E42" s="3">
        <f t="shared" si="14"/>
        <v>12.180000000000007</v>
      </c>
      <c r="F42" s="3">
        <f t="shared" si="15"/>
        <v>0.1627611990119501</v>
      </c>
      <c r="G42" s="3">
        <f t="shared" si="16"/>
        <v>9.8137392349289011E-3</v>
      </c>
      <c r="H42" s="3">
        <f t="shared" si="17"/>
        <v>0.16262767875025044</v>
      </c>
      <c r="I42" s="95">
        <f>Table7[[#This Row],[C (As received)]]*Table7[[#This Row],[100/(100*Moisture content as received)]]</f>
        <v>74.894999999999996</v>
      </c>
      <c r="J42" s="96">
        <f>Table7[[#This Row],[H (As received)]]*Table7[[#This Row],[100/(100*Moisture content as received)]]</f>
        <v>12.190000000000001</v>
      </c>
      <c r="K42" s="96">
        <f>Table7[[#This Row],[N (As received)]]*Table7[[#This Row],[100/(100*Moisture content as received)]]</f>
        <v>0.73499999999999999</v>
      </c>
      <c r="L42" s="96">
        <f>100-Table7[[#This Row],[N(dry basis)]]-Table7[[#This Row],[H (dry basis)]]-Table7[[#This Row],[C (dry basis)]]</f>
        <v>12.180000000000007</v>
      </c>
      <c r="M42" s="97">
        <v>1</v>
      </c>
    </row>
    <row r="43" spans="1:17" x14ac:dyDescent="0.2">
      <c r="A43" s="98" t="str">
        <f t="shared" si="10"/>
        <v>HTC 223 PE SWE  A</v>
      </c>
      <c r="B43" s="3">
        <f t="shared" si="11"/>
        <v>60.984999999999999</v>
      </c>
      <c r="C43" s="3">
        <f t="shared" si="12"/>
        <v>7.9499999999999993</v>
      </c>
      <c r="D43" s="3">
        <f t="shared" si="13"/>
        <v>1.83</v>
      </c>
      <c r="E43" s="3">
        <f t="shared" si="14"/>
        <v>29.234999999999999</v>
      </c>
      <c r="F43" s="3">
        <f t="shared" si="15"/>
        <v>0.13035992457161596</v>
      </c>
      <c r="G43" s="3">
        <f t="shared" si="16"/>
        <v>3.0007378863654999E-2</v>
      </c>
      <c r="H43" s="3">
        <f t="shared" si="17"/>
        <v>0.47938017545298023</v>
      </c>
      <c r="I43" s="95">
        <f>Table7[[#This Row],[C (As received)]]*Table7[[#This Row],[100/(100*Moisture content as received)]]</f>
        <v>62.172494647772453</v>
      </c>
      <c r="J43" s="96">
        <f>Table7[[#This Row],[H (As received)]]*Table7[[#This Row],[100/(100*Moisture content as received)]]</f>
        <v>8.1048017127128134</v>
      </c>
      <c r="K43" s="96">
        <f>Table7[[#This Row],[N (As received)]]*Table7[[#This Row],[100/(100*Moisture content as received)]]</f>
        <v>1.8656336017942707</v>
      </c>
      <c r="L43" s="96">
        <f>100-Table7[[#This Row],[N(dry basis)]]-Table7[[#This Row],[H (dry basis)]]-Table7[[#This Row],[C (dry basis)]]</f>
        <v>27.857070037720462</v>
      </c>
      <c r="M43" s="97">
        <v>1.0194719135487817</v>
      </c>
    </row>
    <row r="44" spans="1:17" x14ac:dyDescent="0.2">
      <c r="A44" s="99" t="str">
        <f t="shared" si="10"/>
        <v>HTC 223 PE SWE PC</v>
      </c>
      <c r="B44" s="3">
        <f t="shared" si="11"/>
        <v>57.814999999999998</v>
      </c>
      <c r="C44" s="3">
        <f t="shared" si="12"/>
        <v>7.21</v>
      </c>
      <c r="D44" s="3">
        <f t="shared" si="13"/>
        <v>2.1100000000000003</v>
      </c>
      <c r="E44" s="3">
        <f t="shared" si="14"/>
        <v>32.865000000000009</v>
      </c>
      <c r="F44" s="3">
        <f t="shared" si="15"/>
        <v>0.12470812072991438</v>
      </c>
      <c r="G44" s="3">
        <f t="shared" si="16"/>
        <v>3.6495719104038753E-2</v>
      </c>
      <c r="H44" s="3">
        <f t="shared" si="17"/>
        <v>0.56845109400674587</v>
      </c>
      <c r="I44" s="95">
        <f>Table7[[#This Row],[C (As received)]]*Table7[[#This Row],[100/(100*Moisture content as received)]]</f>
        <v>57.814999999999998</v>
      </c>
      <c r="J44" s="96">
        <f>Table7[[#This Row],[H (As received)]]*Table7[[#This Row],[100/(100*Moisture content as received)]]</f>
        <v>7.21</v>
      </c>
      <c r="K44" s="96">
        <f>Table7[[#This Row],[N (As received)]]*Table7[[#This Row],[100/(100*Moisture content as received)]]</f>
        <v>2.1100000000000003</v>
      </c>
      <c r="L44" s="96">
        <f>100-Table7[[#This Row],[N(dry basis)]]-Table7[[#This Row],[H (dry basis)]]-Table7[[#This Row],[C (dry basis)]]</f>
        <v>32.865000000000009</v>
      </c>
      <c r="M44" s="97">
        <v>1</v>
      </c>
    </row>
    <row r="45" spans="1:17" x14ac:dyDescent="0.2">
      <c r="A45" s="94" t="str">
        <f t="shared" si="10"/>
        <v>HTC 223 PE SWE SC</v>
      </c>
      <c r="B45" s="3">
        <f t="shared" si="11"/>
        <v>71.19</v>
      </c>
      <c r="C45" s="3">
        <f t="shared" si="12"/>
        <v>12.05</v>
      </c>
      <c r="D45" s="3">
        <f t="shared" si="13"/>
        <v>0.755</v>
      </c>
      <c r="E45" s="3">
        <f t="shared" si="14"/>
        <v>16.00500000000001</v>
      </c>
      <c r="F45" s="3">
        <f t="shared" si="15"/>
        <v>0.16926534625649672</v>
      </c>
      <c r="G45" s="3">
        <f t="shared" si="16"/>
        <v>1.0605422109846888E-2</v>
      </c>
      <c r="H45" s="3">
        <f t="shared" si="17"/>
        <v>0.22482090181205239</v>
      </c>
      <c r="I45" s="95">
        <f>Table7[[#This Row],[C (As received)]]*Table7[[#This Row],[100/(100*Moisture content as received)]]</f>
        <v>71.19</v>
      </c>
      <c r="J45" s="96">
        <f>Table7[[#This Row],[H (As received)]]*Table7[[#This Row],[100/(100*Moisture content as received)]]</f>
        <v>12.05</v>
      </c>
      <c r="K45" s="96">
        <f>Table7[[#This Row],[N (As received)]]*Table7[[#This Row],[100/(100*Moisture content as received)]]</f>
        <v>0.755</v>
      </c>
      <c r="L45" s="96">
        <f>100-Table7[[#This Row],[N(dry basis)]]-Table7[[#This Row],[H (dry basis)]]-Table7[[#This Row],[C (dry basis)]]</f>
        <v>16.00500000000001</v>
      </c>
      <c r="M45" s="97">
        <v>1</v>
      </c>
    </row>
    <row r="46" spans="1:17" x14ac:dyDescent="0.2">
      <c r="A46" s="99" t="str">
        <f t="shared" si="10"/>
        <v>HTC 223 PE SWE  B</v>
      </c>
      <c r="B46" s="3">
        <f t="shared" si="11"/>
        <v>60.635000000000005</v>
      </c>
      <c r="C46" s="3">
        <f t="shared" si="12"/>
        <v>7.8800000000000008</v>
      </c>
      <c r="D46" s="3">
        <f t="shared" si="13"/>
        <v>1.95</v>
      </c>
      <c r="E46" s="3">
        <f t="shared" si="14"/>
        <v>29.534999999999997</v>
      </c>
      <c r="F46" s="3">
        <f t="shared" si="15"/>
        <v>0.12995794508122371</v>
      </c>
      <c r="G46" s="3">
        <f t="shared" si="16"/>
        <v>3.2159643770099777E-2</v>
      </c>
      <c r="H46" s="3">
        <f t="shared" si="17"/>
        <v>0.48709491217943424</v>
      </c>
      <c r="I46" s="95">
        <f>Table7[[#This Row],[C (As received)]]*Table7[[#This Row],[100/(100*Moisture content as received)]]</f>
        <v>62.034498281224423</v>
      </c>
      <c r="J46" s="96">
        <f>Table7[[#This Row],[H (As received)]]*Table7[[#This Row],[100/(100*Moisture content as received)]]</f>
        <v>8.0618759207726303</v>
      </c>
      <c r="K46" s="96">
        <f>Table7[[#This Row],[N (As received)]]*Table7[[#This Row],[100/(100*Moisture content as received)]]</f>
        <v>1.9950073661810441</v>
      </c>
      <c r="L46" s="96">
        <f>100-Table7[[#This Row],[N(dry basis)]]-Table7[[#This Row],[H (dry basis)]]-Table7[[#This Row],[C (dry basis)]]</f>
        <v>27.9086184318219</v>
      </c>
      <c r="M46" s="97">
        <v>1.0230807006056637</v>
      </c>
    </row>
    <row r="47" spans="1:17" x14ac:dyDescent="0.2">
      <c r="A47" s="99" t="str">
        <f t="shared" si="10"/>
        <v>HTC 223 PE SWE  PC</v>
      </c>
      <c r="B47" s="3">
        <f t="shared" si="11"/>
        <v>60.784999999999997</v>
      </c>
      <c r="C47" s="3">
        <f t="shared" si="12"/>
        <v>7.5250000000000004</v>
      </c>
      <c r="D47" s="3">
        <f t="shared" si="13"/>
        <v>1.89</v>
      </c>
      <c r="E47" s="3">
        <f t="shared" si="14"/>
        <v>29.799999999999997</v>
      </c>
      <c r="F47" s="3">
        <f t="shared" si="15"/>
        <v>0.12379698938882949</v>
      </c>
      <c r="G47" s="3">
        <f t="shared" si="16"/>
        <v>3.1093197334868799E-2</v>
      </c>
      <c r="H47" s="3">
        <f t="shared" si="17"/>
        <v>0.49025252940692604</v>
      </c>
      <c r="I47" s="95">
        <f>Table7[[#This Row],[C (As received)]]*Table7[[#This Row],[100/(100*Moisture content as received)]]</f>
        <v>60.784999999999997</v>
      </c>
      <c r="J47" s="96">
        <f>Table7[[#This Row],[H (As received)]]*Table7[[#This Row],[100/(100*Moisture content as received)]]</f>
        <v>7.5250000000000004</v>
      </c>
      <c r="K47" s="96">
        <f>Table7[[#This Row],[N (As received)]]*Table7[[#This Row],[100/(100*Moisture content as received)]]</f>
        <v>1.89</v>
      </c>
      <c r="L47" s="96">
        <f>100-Table7[[#This Row],[N(dry basis)]]-Table7[[#This Row],[H (dry basis)]]-Table7[[#This Row],[C (dry basis)]]</f>
        <v>29.799999999999997</v>
      </c>
      <c r="M47" s="97">
        <v>1</v>
      </c>
    </row>
    <row r="48" spans="1:17" x14ac:dyDescent="0.2">
      <c r="A48" s="98" t="str">
        <f t="shared" si="10"/>
        <v>HTC 223 PE SWE  SC</v>
      </c>
      <c r="B48" s="3">
        <f t="shared" si="11"/>
        <v>69.495000000000005</v>
      </c>
      <c r="C48" s="3">
        <f t="shared" si="12"/>
        <v>10.975000000000001</v>
      </c>
      <c r="D48" s="3">
        <f t="shared" si="13"/>
        <v>1.07</v>
      </c>
      <c r="E48" s="3">
        <f t="shared" si="14"/>
        <v>18.460000000000008</v>
      </c>
      <c r="F48" s="3">
        <f t="shared" si="15"/>
        <v>0.15792503057773941</v>
      </c>
      <c r="G48" s="3">
        <f t="shared" si="16"/>
        <v>1.5396791136052954E-2</v>
      </c>
      <c r="H48" s="3">
        <f t="shared" si="17"/>
        <v>0.26563062090797906</v>
      </c>
      <c r="I48" s="95">
        <f>Table7[[#This Row],[C (As received)]]*Table7[[#This Row],[100/(100*Moisture content as received)]]</f>
        <v>69.495000000000005</v>
      </c>
      <c r="J48" s="96">
        <f>Table7[[#This Row],[H (As received)]]*Table7[[#This Row],[100/(100*Moisture content as received)]]</f>
        <v>10.975000000000001</v>
      </c>
      <c r="K48" s="96">
        <f>Table7[[#This Row],[N (As received)]]*Table7[[#This Row],[100/(100*Moisture content as received)]]</f>
        <v>1.07</v>
      </c>
      <c r="L48" s="96">
        <f>100-Table7[[#This Row],[N(dry basis)]]-Table7[[#This Row],[H (dry basis)]]-Table7[[#This Row],[C (dry basis)]]</f>
        <v>18.460000000000008</v>
      </c>
      <c r="M48" s="97">
        <v>1</v>
      </c>
    </row>
    <row r="49" spans="1:20" x14ac:dyDescent="0.2">
      <c r="A49" s="99" t="str">
        <f t="shared" si="10"/>
        <v>HTC 223 PE RAW A</v>
      </c>
      <c r="B49" s="3">
        <f t="shared" si="11"/>
        <v>71.305000000000007</v>
      </c>
      <c r="C49" s="3">
        <f t="shared" si="12"/>
        <v>8.5850000000000009</v>
      </c>
      <c r="D49" s="3">
        <f t="shared" si="13"/>
        <v>0.255</v>
      </c>
      <c r="E49" s="3">
        <f t="shared" si="14"/>
        <v>19.85499999999999</v>
      </c>
      <c r="F49" s="3">
        <f t="shared" si="15"/>
        <v>0.12039828904003927</v>
      </c>
      <c r="G49" s="3">
        <f t="shared" si="16"/>
        <v>3.576186803169483E-3</v>
      </c>
      <c r="H49" s="3">
        <f t="shared" si="17"/>
        <v>0.27845172147815705</v>
      </c>
      <c r="I49" s="95">
        <f>Table7[[#This Row],[C (As received)]]*Table7[[#This Row],[100/(100*Moisture content as received)]]</f>
        <v>71.807653575025185</v>
      </c>
      <c r="J49" s="96">
        <f>Table7[[#This Row],[H (As received)]]*Table7[[#This Row],[100/(100*Moisture content as received)]]</f>
        <v>8.6455186304128908</v>
      </c>
      <c r="K49" s="96">
        <f>Table7[[#This Row],[N (As received)]]*Table7[[#This Row],[100/(100*Moisture content as received)]]</f>
        <v>0.25679758308157102</v>
      </c>
      <c r="L49" s="96">
        <f>100-Table7[[#This Row],[N(dry basis)]]-Table7[[#This Row],[H (dry basis)]]-Table7[[#This Row],[C (dry basis)]]</f>
        <v>19.290030211480357</v>
      </c>
      <c r="M49" s="97">
        <v>1.0070493454179255</v>
      </c>
    </row>
    <row r="50" spans="1:20" x14ac:dyDescent="0.2">
      <c r="A50" s="99" t="str">
        <f t="shared" si="10"/>
        <v>HTC 223 PE RAW A PC</v>
      </c>
      <c r="B50" s="3">
        <f t="shared" si="11"/>
        <v>55.58</v>
      </c>
      <c r="C50" s="3">
        <f t="shared" si="12"/>
        <v>6.3449999999999998</v>
      </c>
      <c r="D50" s="3">
        <f t="shared" si="13"/>
        <v>0.30499999999999999</v>
      </c>
      <c r="E50" s="3">
        <f t="shared" si="14"/>
        <v>37.770000000000003</v>
      </c>
      <c r="F50" s="3">
        <f t="shared" si="15"/>
        <v>0.11415976970133142</v>
      </c>
      <c r="G50" s="3">
        <f t="shared" si="16"/>
        <v>5.4875854623965452E-3</v>
      </c>
      <c r="H50" s="3">
        <f t="shared" si="17"/>
        <v>0.67956099316300833</v>
      </c>
      <c r="I50" s="95">
        <f>Table7[[#This Row],[C (As received)]]*Table7[[#This Row],[100/(100*Moisture content as received)]]</f>
        <v>57.528489954767991</v>
      </c>
      <c r="J50" s="96">
        <f>Table7[[#This Row],[H (As received)]]*Table7[[#This Row],[100/(100*Moisture content as received)]]</f>
        <v>6.5674391645016721</v>
      </c>
      <c r="K50" s="96">
        <f>Table7[[#This Row],[N (As received)]]*Table7[[#This Row],[100/(100*Moisture content as received)]]</f>
        <v>0.31569250514941055</v>
      </c>
      <c r="L50" s="96">
        <f>100-Table7[[#This Row],[N(dry basis)]]-Table7[[#This Row],[H (dry basis)]]-Table7[[#This Row],[C (dry basis)]]</f>
        <v>35.588378375580916</v>
      </c>
      <c r="M50" s="97">
        <v>1.0350573939324936</v>
      </c>
    </row>
    <row r="51" spans="1:20" x14ac:dyDescent="0.2">
      <c r="A51" s="98" t="str">
        <f t="shared" si="10"/>
        <v>HTC 223 PE RAW A SC</v>
      </c>
      <c r="B51" s="3">
        <f t="shared" si="11"/>
        <v>72.66</v>
      </c>
      <c r="C51" s="3">
        <f t="shared" si="12"/>
        <v>9.9050000000000011</v>
      </c>
      <c r="D51" s="3">
        <f t="shared" si="13"/>
        <v>0.13500000000000001</v>
      </c>
      <c r="E51" s="3">
        <f t="shared" si="14"/>
        <v>17.299999999999997</v>
      </c>
      <c r="F51" s="3">
        <f t="shared" si="15"/>
        <v>0.13631984585741813</v>
      </c>
      <c r="G51" s="3">
        <f t="shared" si="16"/>
        <v>1.8579686209744014E-3</v>
      </c>
      <c r="H51" s="3">
        <f t="shared" si="17"/>
        <v>0.23809523809523805</v>
      </c>
      <c r="I51" s="95">
        <f>Table7[[#This Row],[C (As received)]]*Table7[[#This Row],[100/(100*Moisture content as received)]]</f>
        <v>72.66</v>
      </c>
      <c r="J51" s="96">
        <f>Table7[[#This Row],[H (As received)]]*Table7[[#This Row],[100/(100*Moisture content as received)]]</f>
        <v>9.9050000000000011</v>
      </c>
      <c r="K51" s="96">
        <f>Table7[[#This Row],[N (As received)]]*Table7[[#This Row],[100/(100*Moisture content as received)]]</f>
        <v>0.13500000000000001</v>
      </c>
      <c r="L51" s="96">
        <f>100-Table7[[#This Row],[N(dry basis)]]-Table7[[#This Row],[H (dry basis)]]-Table7[[#This Row],[C (dry basis)]]</f>
        <v>17.299999999999997</v>
      </c>
      <c r="M51" s="97">
        <v>1</v>
      </c>
    </row>
    <row r="52" spans="1:20" x14ac:dyDescent="0.2">
      <c r="A52" s="99" t="str">
        <f t="shared" si="10"/>
        <v>HTC 223 PE RAW B</v>
      </c>
      <c r="B52" s="3">
        <f t="shared" si="11"/>
        <v>68.89</v>
      </c>
      <c r="C52" s="3">
        <f t="shared" si="12"/>
        <v>7.9399999999999995</v>
      </c>
      <c r="D52" s="3">
        <f t="shared" si="13"/>
        <v>0.19500000000000001</v>
      </c>
      <c r="E52" s="3">
        <f t="shared" si="14"/>
        <v>22.975000000000009</v>
      </c>
      <c r="F52" s="3">
        <f t="shared" si="15"/>
        <v>0.11525620554507185</v>
      </c>
      <c r="G52" s="3">
        <f t="shared" si="16"/>
        <v>2.8305995064595731E-3</v>
      </c>
      <c r="H52" s="3">
        <f t="shared" si="17"/>
        <v>0.33350268544055756</v>
      </c>
      <c r="I52" s="95">
        <f>Table7[[#This Row],[C (As received)]]*Table7[[#This Row],[100/(100*Moisture content as received)]]</f>
        <v>69.054349351456466</v>
      </c>
      <c r="J52" s="96">
        <f>Table7[[#This Row],[H (As received)]]*Table7[[#This Row],[100/(100*Moisture content as received)]]</f>
        <v>7.9589422826326643</v>
      </c>
      <c r="K52" s="96">
        <f>Table7[[#This Row],[N (As received)]]*Table7[[#This Row],[100/(100*Moisture content as received)]]</f>
        <v>0.19546520719311963</v>
      </c>
      <c r="L52" s="96">
        <f>100-Table7[[#This Row],[N(dry basis)]]-Table7[[#This Row],[H (dry basis)]]-Table7[[#This Row],[C (dry basis)]]</f>
        <v>22.791243158717748</v>
      </c>
      <c r="M52" s="97">
        <v>1.0023856779134339</v>
      </c>
    </row>
    <row r="53" spans="1:20" x14ac:dyDescent="0.2">
      <c r="A53" s="98" t="str">
        <f t="shared" si="10"/>
        <v>HTC 223 PE RAW B PC</v>
      </c>
      <c r="B53" s="3">
        <f t="shared" si="11"/>
        <v>54.284999999999997</v>
      </c>
      <c r="C53" s="3">
        <f t="shared" si="12"/>
        <v>6.33</v>
      </c>
      <c r="D53" s="3">
        <f t="shared" si="13"/>
        <v>0.28000000000000003</v>
      </c>
      <c r="E53" s="3">
        <f t="shared" si="14"/>
        <v>39.105000000000004</v>
      </c>
      <c r="F53" s="3">
        <f t="shared" si="15"/>
        <v>0.1166067974578613</v>
      </c>
      <c r="G53" s="3">
        <f t="shared" si="16"/>
        <v>5.1579626047711163E-3</v>
      </c>
      <c r="H53" s="3">
        <f t="shared" si="17"/>
        <v>0.72036474164133746</v>
      </c>
      <c r="I53" s="95">
        <f>Table7[[#This Row],[C (As received)]]*Table7[[#This Row],[100/(100*Moisture content as received)]]</f>
        <v>56.280714122794286</v>
      </c>
      <c r="J53" s="96">
        <f>Table7[[#This Row],[H (As received)]]*Table7[[#This Row],[100/(100*Moisture content as received)]]</f>
        <v>6.5627138325004672</v>
      </c>
      <c r="K53" s="96">
        <f>Table7[[#This Row],[N (As received)]]*Table7[[#This Row],[100/(100*Moisture content as received)]]</f>
        <v>0.29029381881518657</v>
      </c>
      <c r="L53" s="96">
        <f>100-Table7[[#This Row],[N(dry basis)]]-Table7[[#This Row],[H (dry basis)]]-Table7[[#This Row],[C (dry basis)]]</f>
        <v>36.866278225890063</v>
      </c>
      <c r="M53" s="97">
        <v>1.0367636386256662</v>
      </c>
    </row>
    <row r="54" spans="1:20" x14ac:dyDescent="0.2">
      <c r="A54" s="98" t="str">
        <f t="shared" si="10"/>
        <v>HTC 223 PE RAW B SC</v>
      </c>
      <c r="B54" s="3">
        <f t="shared" si="11"/>
        <v>73.675000000000011</v>
      </c>
      <c r="C54" s="3">
        <f t="shared" si="12"/>
        <v>11.234999999999999</v>
      </c>
      <c r="D54" s="3">
        <f t="shared" si="13"/>
        <v>0.1</v>
      </c>
      <c r="E54" s="3">
        <f t="shared" si="14"/>
        <v>14.989999999999995</v>
      </c>
      <c r="F54" s="3">
        <f t="shared" si="15"/>
        <v>0.15249406175771968</v>
      </c>
      <c r="G54" s="3">
        <f t="shared" si="16"/>
        <v>1.357312521208008E-3</v>
      </c>
      <c r="H54" s="3">
        <f t="shared" si="17"/>
        <v>0.20346114692908032</v>
      </c>
      <c r="I54" s="95">
        <f>Table7[[#This Row],[C (As received)]]*Table7[[#This Row],[100/(100*Moisture content as received)]]</f>
        <v>73.675000000000011</v>
      </c>
      <c r="J54" s="96">
        <f>Table7[[#This Row],[H (As received)]]*Table7[[#This Row],[100/(100*Moisture content as received)]]</f>
        <v>11.234999999999999</v>
      </c>
      <c r="K54" s="96">
        <f>Table7[[#This Row],[N (As received)]]*Table7[[#This Row],[100/(100*Moisture content as received)]]</f>
        <v>0.1</v>
      </c>
      <c r="L54" s="96">
        <f>100-Table7[[#This Row],[N(dry basis)]]-Table7[[#This Row],[H (dry basis)]]-Table7[[#This Row],[C (dry basis)]]</f>
        <v>14.989999999999995</v>
      </c>
      <c r="M54" s="97">
        <v>1</v>
      </c>
    </row>
    <row r="55" spans="1:20" x14ac:dyDescent="0.2">
      <c r="A55" s="100" t="str">
        <f t="shared" si="10"/>
        <v>HTC 223 RAW A</v>
      </c>
      <c r="B55" s="3">
        <f t="shared" si="11"/>
        <v>69.064999999999998</v>
      </c>
      <c r="C55" s="3">
        <f t="shared" si="12"/>
        <v>6.9550000000000001</v>
      </c>
      <c r="D55" s="3">
        <f t="shared" si="13"/>
        <v>2.91</v>
      </c>
      <c r="E55" s="3">
        <f t="shared" si="14"/>
        <v>21.070000000000007</v>
      </c>
      <c r="F55" s="3">
        <f t="shared" si="15"/>
        <v>0.10070223702309419</v>
      </c>
      <c r="G55" s="3">
        <f t="shared" si="16"/>
        <v>4.2134221385651205E-2</v>
      </c>
      <c r="H55" s="3">
        <f t="shared" si="17"/>
        <v>0.30507492941431996</v>
      </c>
      <c r="I55" s="95">
        <f>Table7[[#This Row],[C (As received)]]*Table7[[#This Row],[100/(100*Moisture content as received)]]</f>
        <v>69.954116824843751</v>
      </c>
      <c r="J55" s="96">
        <f>Table7[[#This Row],[H (As received)]]*Table7[[#This Row],[100/(100*Moisture content as received)]]</f>
        <v>7.0445360532366372</v>
      </c>
      <c r="K55" s="96">
        <f>Table7[[#This Row],[N (As received)]]*Table7[[#This Row],[100/(100*Moisture content as received)]]</f>
        <v>2.9474622451356742</v>
      </c>
      <c r="L55" s="96">
        <f>100-Table7[[#This Row],[N(dry basis)]]-Table7[[#This Row],[H (dry basis)]]-Table7[[#This Row],[C (dry basis)]]</f>
        <v>20.05388487678394</v>
      </c>
      <c r="M55" s="97">
        <v>1.0128736237579636</v>
      </c>
    </row>
    <row r="56" spans="1:20" x14ac:dyDescent="0.2">
      <c r="A56" s="98" t="str">
        <f t="shared" si="10"/>
        <v>HTC 223 RAW A PC</v>
      </c>
      <c r="B56" s="3">
        <f t="shared" si="11"/>
        <v>66.325000000000003</v>
      </c>
      <c r="C56" s="3">
        <f t="shared" si="12"/>
        <v>5.51</v>
      </c>
      <c r="D56" s="3">
        <f t="shared" si="13"/>
        <v>3.835</v>
      </c>
      <c r="E56" s="3">
        <f t="shared" si="14"/>
        <v>24.33</v>
      </c>
      <c r="F56" s="3">
        <f t="shared" si="15"/>
        <v>8.3075763286845072E-2</v>
      </c>
      <c r="G56" s="3">
        <f t="shared" si="16"/>
        <v>5.7821334338484728E-2</v>
      </c>
      <c r="H56" s="3">
        <f t="shared" si="17"/>
        <v>0.36683000376931774</v>
      </c>
      <c r="I56" s="95">
        <f>Table7[[#This Row],[C (As received)]]*Table7[[#This Row],[100/(100*Moisture content as received)]]</f>
        <v>69.392132245239594</v>
      </c>
      <c r="J56" s="96">
        <f>Table7[[#This Row],[H (As received)]]*Table7[[#This Row],[100/(100*Moisture content as received)]]</f>
        <v>5.7648043523749735</v>
      </c>
      <c r="K56" s="96">
        <f>Table7[[#This Row],[N (As received)]]*Table7[[#This Row],[100/(100*Moisture content as received)]]</f>
        <v>4.0123456790123457</v>
      </c>
      <c r="L56" s="96">
        <f>100-Table7[[#This Row],[N(dry basis)]]-Table7[[#This Row],[H (dry basis)]]-Table7[[#This Row],[C (dry basis)]]</f>
        <v>20.830717723373084</v>
      </c>
      <c r="M56" s="97">
        <v>1.0462439840970914</v>
      </c>
    </row>
    <row r="57" spans="1:20" x14ac:dyDescent="0.2">
      <c r="A57" s="98" t="str">
        <f t="shared" si="10"/>
        <v>HTC 223 RAW A SC</v>
      </c>
      <c r="B57" s="3">
        <f t="shared" si="11"/>
        <v>73.824999999999989</v>
      </c>
      <c r="C57" s="3">
        <f t="shared" si="12"/>
        <v>11.79</v>
      </c>
      <c r="D57" s="3">
        <f t="shared" si="13"/>
        <v>1.24</v>
      </c>
      <c r="E57" s="3">
        <f t="shared" si="14"/>
        <v>13.145000000000024</v>
      </c>
      <c r="F57" s="3">
        <f t="shared" si="15"/>
        <v>0.15970199796816797</v>
      </c>
      <c r="G57" s="3">
        <f t="shared" si="16"/>
        <v>1.6796478157805623E-2</v>
      </c>
      <c r="H57" s="3">
        <f t="shared" si="17"/>
        <v>0.17805621401964139</v>
      </c>
      <c r="I57" s="95">
        <f>Table7[[#This Row],[C (As received)]]*Table7[[#This Row],[100/(100*Moisture content as received)]]</f>
        <v>73.824999999999989</v>
      </c>
      <c r="J57" s="96">
        <f>Table7[[#This Row],[H (As received)]]*Table7[[#This Row],[100/(100*Moisture content as received)]]</f>
        <v>11.79</v>
      </c>
      <c r="K57" s="96">
        <f>Table7[[#This Row],[N (As received)]]*Table7[[#This Row],[100/(100*Moisture content as received)]]</f>
        <v>1.24</v>
      </c>
      <c r="L57" s="96">
        <f>100-Table7[[#This Row],[N(dry basis)]]-Table7[[#This Row],[H (dry basis)]]-Table7[[#This Row],[C (dry basis)]]</f>
        <v>13.14500000000001</v>
      </c>
      <c r="M57" s="97">
        <v>1</v>
      </c>
    </row>
    <row r="58" spans="1:20" x14ac:dyDescent="0.2">
      <c r="A58" s="100" t="str">
        <f t="shared" si="10"/>
        <v>HTC 223 RAW B</v>
      </c>
      <c r="B58" s="3">
        <f t="shared" si="11"/>
        <v>68.53</v>
      </c>
      <c r="C58" s="3">
        <f t="shared" si="12"/>
        <v>7.0949999999999998</v>
      </c>
      <c r="D58" s="3">
        <f t="shared" si="13"/>
        <v>3.08</v>
      </c>
      <c r="E58" s="3">
        <f t="shared" si="14"/>
        <v>21.295000000000002</v>
      </c>
      <c r="F58" s="3">
        <f t="shared" si="15"/>
        <v>0.10353130016051364</v>
      </c>
      <c r="G58" s="3">
        <f t="shared" si="16"/>
        <v>4.49438202247191E-2</v>
      </c>
      <c r="H58" s="3">
        <f t="shared" si="17"/>
        <v>0.31073982197577704</v>
      </c>
      <c r="I58" s="95">
        <f>Table7[[#This Row],[C (As received)]]*Table7[[#This Row],[100/(100*Moisture content as received)]]</f>
        <v>69.441066796368347</v>
      </c>
      <c r="J58" s="96">
        <f>Table7[[#This Row],[H (As received)]]*Table7[[#This Row],[100/(100*Moisture content as received)]]</f>
        <v>7.1893239299610885</v>
      </c>
      <c r="K58" s="96">
        <f>Table7[[#This Row],[N (As received)]]*Table7[[#This Row],[100/(100*Moisture content as received)]]</f>
        <v>3.12094682230869</v>
      </c>
      <c r="L58" s="96">
        <f>100-Table7[[#This Row],[N(dry basis)]]-Table7[[#This Row],[H (dry basis)]]-Table7[[#This Row],[C (dry basis)]]</f>
        <v>20.248662451361866</v>
      </c>
      <c r="M58" s="97">
        <v>1.0132944228274967</v>
      </c>
    </row>
    <row r="59" spans="1:20" x14ac:dyDescent="0.2">
      <c r="A59" s="98" t="str">
        <f t="shared" si="10"/>
        <v>HTC 223 RAW B PC</v>
      </c>
      <c r="B59" s="3">
        <f>E25</f>
        <v>66.319999999999993</v>
      </c>
      <c r="C59" s="65">
        <f>I25</f>
        <v>5.375</v>
      </c>
      <c r="D59" s="65">
        <f>N25</f>
        <v>3.78</v>
      </c>
      <c r="E59" s="65">
        <f>Q25</f>
        <v>24.525000000000006</v>
      </c>
      <c r="F59" s="65">
        <f t="shared" si="15"/>
        <v>8.1046441495778054E-2</v>
      </c>
      <c r="G59" s="65">
        <f t="shared" si="16"/>
        <v>5.6996381182147171E-2</v>
      </c>
      <c r="H59" s="65">
        <f t="shared" si="17"/>
        <v>0.36979794933655019</v>
      </c>
      <c r="I59" s="95">
        <f>Table7[[#This Row],[C (As received)]]*Table7[[#This Row],[100/(100*Moisture content as received)]]</f>
        <v>69.195054515102498</v>
      </c>
      <c r="J59" s="96">
        <f>Table7[[#This Row],[H (As received)]]*Table7[[#This Row],[100/(100*Moisture content as received)]]</f>
        <v>5.6080129375554275</v>
      </c>
      <c r="K59" s="96">
        <f>Table7[[#This Row],[N (As received)]]*Table7[[#This Row],[100/(100*Moisture content as received)]]</f>
        <v>3.9438677030622356</v>
      </c>
      <c r="L59" s="96">
        <f>100-Table7[[#This Row],[N(dry basis)]]-Table7[[#This Row],[H (dry basis)]]-Table7[[#This Row],[C (dry basis)]]</f>
        <v>21.253064844279834</v>
      </c>
      <c r="M59" s="97">
        <v>1.0433512441963586</v>
      </c>
    </row>
    <row r="60" spans="1:20" ht="10.8" thickBot="1" x14ac:dyDescent="0.25">
      <c r="A60" s="94" t="str">
        <f t="shared" si="10"/>
        <v>HTC 223 RAW B SC</v>
      </c>
      <c r="B60" s="3">
        <f>E26</f>
        <v>73.004999999999995</v>
      </c>
      <c r="C60" s="65">
        <f>I26</f>
        <v>11.505000000000001</v>
      </c>
      <c r="D60" s="65">
        <f>N26</f>
        <v>1.5649999999999999</v>
      </c>
      <c r="E60" s="65">
        <f>Q26</f>
        <v>13.925000000000011</v>
      </c>
      <c r="F60" s="65">
        <f t="shared" si="15"/>
        <v>0.15759194575713995</v>
      </c>
      <c r="G60" s="65">
        <f t="shared" si="16"/>
        <v>2.1436887884391482E-2</v>
      </c>
      <c r="H60" s="65">
        <f t="shared" si="17"/>
        <v>0.19074036024929816</v>
      </c>
      <c r="I60" s="101">
        <f>Table7[[#This Row],[C (As received)]]*Table7[[#This Row],[100/(100*Moisture content as received)]]</f>
        <v>73.004999999999995</v>
      </c>
      <c r="J60" s="96">
        <f>Table7[[#This Row],[H (As received)]]*Table7[[#This Row],[100/(100*Moisture content as received)]]</f>
        <v>11.505000000000001</v>
      </c>
      <c r="K60" s="102">
        <f>Table7[[#This Row],[N (As received)]]*Table7[[#This Row],[100/(100*Moisture content as received)]]</f>
        <v>1.5649999999999999</v>
      </c>
      <c r="L60" s="102">
        <f>100-Table7[[#This Row],[N(dry basis)]]-Table7[[#This Row],[H (dry basis)]]-Table7[[#This Row],[C (dry basis)]]</f>
        <v>13.925000000000011</v>
      </c>
      <c r="M60" s="97">
        <v>1</v>
      </c>
    </row>
    <row r="63" spans="1:20" x14ac:dyDescent="0.2">
      <c r="H63" s="3" t="s">
        <v>53</v>
      </c>
      <c r="I63" s="3" t="s">
        <v>2</v>
      </c>
      <c r="J63" s="3" t="s">
        <v>253</v>
      </c>
      <c r="K63" s="3" t="s">
        <v>256</v>
      </c>
      <c r="L63" s="3" t="s">
        <v>4</v>
      </c>
      <c r="M63" s="3" t="s">
        <v>250</v>
      </c>
      <c r="N63" s="3" t="s">
        <v>254</v>
      </c>
      <c r="O63" s="3" t="s">
        <v>6</v>
      </c>
      <c r="P63" s="3" t="s">
        <v>251</v>
      </c>
      <c r="Q63" s="3" t="s">
        <v>257</v>
      </c>
      <c r="R63" s="3" t="s">
        <v>8</v>
      </c>
      <c r="S63" s="3" t="s">
        <v>252</v>
      </c>
      <c r="T63" s="3" t="s">
        <v>258</v>
      </c>
    </row>
    <row r="64" spans="1:20" x14ac:dyDescent="0.2">
      <c r="H64" s="94" t="s">
        <v>14</v>
      </c>
      <c r="I64" s="66">
        <f>I36</f>
        <v>53.011854315292602</v>
      </c>
      <c r="J64" s="3">
        <f>F2/SQRT(2)</f>
        <v>6.4999999999997726E-2</v>
      </c>
      <c r="K64" s="3">
        <f>12.71*Table13[[#This Row],[SEM]]</f>
        <v>0.82614999999997119</v>
      </c>
      <c r="L64" s="3">
        <f>J36</f>
        <v>7.7401705734055675</v>
      </c>
      <c r="M64" s="3">
        <f>J2</f>
        <v>3.5355339059327251E-2</v>
      </c>
      <c r="N64" s="3">
        <f>_xlfn.CONFIDENCE.T(0.05,Table13[[#This Row],[Stdev3]],2)</f>
        <v>0.31765511840436655</v>
      </c>
      <c r="O64" s="3">
        <f>K36</f>
        <v>2.547873196373974</v>
      </c>
      <c r="P64" s="3">
        <f>O2</f>
        <v>2.12132034355966E-2</v>
      </c>
      <c r="Q64" s="3">
        <f>_xlfn.CONFIDENCE.T(0.05,Table13[[#This Row],[Stdev4]],2)</f>
        <v>0.19059307104262216</v>
      </c>
      <c r="R64" s="3">
        <f>L36</f>
        <v>36.700101914927863</v>
      </c>
      <c r="S64" s="3">
        <f>'SWE_178 ultimate'!P4</f>
        <v>0.14849242404917559</v>
      </c>
      <c r="T64" s="3">
        <f>_xlfn.CONFIDENCE.T(0.05,Table13[[#This Row],[stdev2]],2)</f>
        <v>1.3341514972983497</v>
      </c>
    </row>
    <row r="65" spans="8:20" x14ac:dyDescent="0.2">
      <c r="H65" s="98" t="s">
        <v>222</v>
      </c>
      <c r="I65" s="66">
        <f>AVERAGE(I37,I40)</f>
        <v>69.125471706409755</v>
      </c>
      <c r="J65" s="3">
        <f>STDEV(I37,I40)/2</f>
        <v>0.21738673643822057</v>
      </c>
      <c r="K65" s="3">
        <f>3.182*Table13[[#This Row],[SEM]]</f>
        <v>0.69172459534641784</v>
      </c>
      <c r="L65" s="3">
        <f>AVERAGE(J37,J40)</f>
        <v>7.7317998907075234</v>
      </c>
      <c r="M65" s="3">
        <f>STDEV(J37,J40)</f>
        <v>0.31588923639013272</v>
      </c>
      <c r="N65" s="3">
        <f>_xlfn.CONFIDENCE.T(0.05,Table13[[#This Row],[Stdev3]],4)</f>
        <v>0.50265026661433498</v>
      </c>
      <c r="O65" s="3">
        <f>AVERAGE(K37,K40)</f>
        <v>2.615010850627538</v>
      </c>
      <c r="P65" s="3">
        <f>STDEV(K37,K40)</f>
        <v>5.0791771715227037E-2</v>
      </c>
      <c r="Q65" s="3">
        <f>_xlfn.CONFIDENCE.T(0.05,Table13[[#This Row],[Stdev4]],4)</f>
        <v>8.0821043116968944E-2</v>
      </c>
      <c r="R65" s="3">
        <f>AVERAGE(L37,L40)</f>
        <v>20.527717552255183</v>
      </c>
      <c r="S65" s="3">
        <f>STDEV(L37,L40)</f>
        <v>0.69987093755134655</v>
      </c>
      <c r="T65" s="3">
        <f>_xlfn.CONFIDENCE.T(0.05,Table13[[#This Row],[stdev2]],4)</f>
        <v>1.1136508396928642</v>
      </c>
    </row>
    <row r="66" spans="8:20" x14ac:dyDescent="0.2">
      <c r="H66" s="98" t="s">
        <v>223</v>
      </c>
      <c r="I66" s="66">
        <f>AVERAGE(I38,I41)</f>
        <v>67.216228326043904</v>
      </c>
      <c r="J66" s="3">
        <f>STDEV(I38,I41)/2</f>
        <v>5.140132806513531E-2</v>
      </c>
      <c r="K66" s="3">
        <f>3.182*Table13[[#This Row],[SEM]]</f>
        <v>0.16355902590326055</v>
      </c>
      <c r="L66" s="3">
        <f>AVERAGE(J38,J41)</f>
        <v>5.9689709245437141</v>
      </c>
      <c r="M66" s="3">
        <f>STDEV(J38,J41)</f>
        <v>0.33372963153671809</v>
      </c>
      <c r="N66" s="3">
        <f>_xlfn.CONFIDENCE.T(0.05,Table13[[#This Row],[Stdev3]],4)</f>
        <v>0.53103831642386101</v>
      </c>
      <c r="O66" s="3">
        <f>AVERAGE(K38,K41)</f>
        <v>3.7075205840760637</v>
      </c>
      <c r="P66" s="3">
        <f>STDEV(K38,K41)</f>
        <v>0.18899698644518464</v>
      </c>
      <c r="Q66" s="3">
        <f>_xlfn.CONFIDENCE.T(0.05,Table13[[#This Row],[Stdev4]],4)</f>
        <v>0.30073638061111657</v>
      </c>
      <c r="R66" s="3">
        <f>AVERAGE(L38,L41)</f>
        <v>23.10728016533632</v>
      </c>
      <c r="S66" s="3">
        <f>STDEV(L38,L41)</f>
        <v>0.62552927411217552</v>
      </c>
      <c r="T66" s="3">
        <f>_xlfn.CONFIDENCE.T(0.05,Table13[[#This Row],[stdev2]],4)</f>
        <v>0.99535666362254671</v>
      </c>
    </row>
    <row r="67" spans="8:20" x14ac:dyDescent="0.2">
      <c r="H67" s="98" t="s">
        <v>224</v>
      </c>
      <c r="I67" s="66">
        <f>AVERAGE(I39,I42)</f>
        <v>74.767499999999984</v>
      </c>
      <c r="J67" s="3">
        <f>STDEV(I39,I42)/2</f>
        <v>9.0156114601288223E-2</v>
      </c>
      <c r="K67" s="3">
        <f>3.182*Table13[[#This Row],[SEM]]</f>
        <v>0.28687675666129914</v>
      </c>
      <c r="L67" s="3">
        <f>AVERAGE(J39,J42)</f>
        <v>12.2225</v>
      </c>
      <c r="M67" s="3">
        <f>STDEV(J39,J42)</f>
        <v>4.5961940777123983E-2</v>
      </c>
      <c r="N67" s="3">
        <f>_xlfn.CONFIDENCE.T(0.05,Table13[[#This Row],[Stdev3]],4)</f>
        <v>7.3135704304913438E-2</v>
      </c>
      <c r="O67" s="3">
        <f>AVERAGE(K39,K42)</f>
        <v>0.745</v>
      </c>
      <c r="P67" s="3">
        <f>STDEV(K39,K42)</f>
        <v>1.4142135623730963E-2</v>
      </c>
      <c r="Q67" s="3">
        <f>_xlfn.CONFIDENCE.T(0.05,Table13[[#This Row],[Stdev4]],4)</f>
        <v>2.2503293632281863E-2</v>
      </c>
      <c r="R67" s="3">
        <f>AVERAGE(L39,L42)</f>
        <v>12.265000000000015</v>
      </c>
      <c r="S67" s="3">
        <f>STDEV(L39,L42)</f>
        <v>0.12020815280172434</v>
      </c>
      <c r="T67" s="3">
        <f>_xlfn.CONFIDENCE.T(0.05,Table13[[#This Row],[stdev2]],4)</f>
        <v>0.19127799587441358</v>
      </c>
    </row>
    <row r="68" spans="8:20" x14ac:dyDescent="0.2">
      <c r="H68" s="98" t="s">
        <v>225</v>
      </c>
      <c r="I68" s="66">
        <f>AVERAGE(I43,I46)</f>
        <v>62.103496464498434</v>
      </c>
      <c r="J68" s="3">
        <f>STDEV(I43,I46)/2</f>
        <v>4.8789083282608364E-2</v>
      </c>
      <c r="K68" s="3">
        <f>3.182*Table13[[#This Row],[SEM]]</f>
        <v>0.15524686300525981</v>
      </c>
      <c r="L68" s="3">
        <f>AVERAGE(J46,J43)</f>
        <v>8.0833388167427209</v>
      </c>
      <c r="M68" s="3">
        <f>STDEV(J43,J46)</f>
        <v>3.035311856870631E-2</v>
      </c>
      <c r="N68" s="3">
        <f>_xlfn.CONFIDENCE.T(0.05,Table13[[#This Row],[Stdev3]],4)</f>
        <v>4.8298585021408873E-2</v>
      </c>
      <c r="O68" s="3">
        <f>AVERAGE(K43,K46)</f>
        <v>1.9303204839876575</v>
      </c>
      <c r="P68" s="3">
        <f>STDEV(K43,K46)</f>
        <v>9.1481066105518122E-2</v>
      </c>
      <c r="Q68" s="3">
        <f>_xlfn.CONFIDENCE.T(0.05,Table13[[#This Row],[Stdev4]],4)</f>
        <v>0.14556679041546045</v>
      </c>
      <c r="R68" s="3">
        <f>AVERAGE(L43,L46)</f>
        <v>27.882844234771181</v>
      </c>
      <c r="S68" s="3">
        <f>STDEV(L43,L46)</f>
        <v>3.6450219028403494E-2</v>
      </c>
      <c r="T68" s="3">
        <f>_xlfn.CONFIDENCE.T(0.05,Table13[[#This Row],[stdev2]],4)</f>
        <v>5.8000432436862322E-2</v>
      </c>
    </row>
    <row r="69" spans="8:20" x14ac:dyDescent="0.2">
      <c r="H69" s="99" t="s">
        <v>195</v>
      </c>
      <c r="I69" s="66">
        <f>AVERAGE(I44,I47)</f>
        <v>59.3</v>
      </c>
      <c r="J69" s="3">
        <f>STDEV(I44,I47)/2</f>
        <v>1.0500535700620226</v>
      </c>
      <c r="K69" s="3">
        <f>3.182*Table13[[#This Row],[SEM]]</f>
        <v>3.3412704599373559</v>
      </c>
      <c r="L69" s="3">
        <f>AVERAGE(J47,J44)</f>
        <v>7.3674999999999997</v>
      </c>
      <c r="M69" s="3">
        <f>STDEV(J44,J47)</f>
        <v>0.22273863607376276</v>
      </c>
      <c r="N69" s="3">
        <f>_xlfn.CONFIDENCE.T(0.05,Table13[[#This Row],[Stdev3]],4)</f>
        <v>0.35442687470843948</v>
      </c>
      <c r="O69" s="103">
        <f>AVERAGE(K44,K47)</f>
        <v>2</v>
      </c>
      <c r="P69" s="3">
        <f>STDEV(K44,K47)</f>
        <v>0.15556349186104076</v>
      </c>
      <c r="Q69" s="3">
        <f>_xlfn.CONFIDENCE.T(0.05,Table13[[#This Row],[Stdev4]],4)</f>
        <v>0.24753622995510077</v>
      </c>
      <c r="R69" s="3">
        <f>AVERAGE(L44,L47)</f>
        <v>31.332500000000003</v>
      </c>
      <c r="S69" s="3">
        <f>STDEV(L44,L47)</f>
        <v>2.1672822843367765</v>
      </c>
      <c r="T69" s="3">
        <f>_xlfn.CONFIDENCE.T(0.05,Table13[[#This Row],[stdev2]],4)</f>
        <v>3.4486297491472055</v>
      </c>
    </row>
    <row r="70" spans="8:20" x14ac:dyDescent="0.2">
      <c r="H70" s="99" t="s">
        <v>196</v>
      </c>
      <c r="I70" s="66">
        <f>AVERAGE(I45,I48)</f>
        <v>70.342500000000001</v>
      </c>
      <c r="J70" s="3">
        <f>STDEV(I45,I48)/2</f>
        <v>0.59927299705559667</v>
      </c>
      <c r="K70" s="3">
        <f>3.182*Table13[[#This Row],[SEM]]</f>
        <v>1.9068866766309085</v>
      </c>
      <c r="L70" s="3">
        <f>AVERAGE(J48,J45)</f>
        <v>11.512500000000001</v>
      </c>
      <c r="M70" s="3">
        <f>STDEV(J45,J48)</f>
        <v>0.76013978977553809</v>
      </c>
      <c r="N70" s="3">
        <f>_xlfn.CONFIDENCE.T(0.05,Table13[[#This Row],[Stdev3]],4)</f>
        <v>1.2095520327351483</v>
      </c>
      <c r="O70" s="3">
        <f>AVERAGE(K45,K48)</f>
        <v>0.91250000000000009</v>
      </c>
      <c r="P70" s="3">
        <f>STDEV(K45,K48)</f>
        <v>0.2227386360737616</v>
      </c>
      <c r="Q70" s="3">
        <f>_xlfn.CONFIDENCE.T(0.05,Table13[[#This Row],[Stdev4]],4)</f>
        <v>0.35442687470843764</v>
      </c>
      <c r="R70" s="3">
        <f>AVERAGE(L45,L48)</f>
        <v>17.232500000000009</v>
      </c>
      <c r="S70" s="3">
        <f>STDEV(L45,L48)</f>
        <v>1.7359471478129729</v>
      </c>
      <c r="T70" s="3">
        <f>_xlfn.CONFIDENCE.T(0.05,Table13[[#This Row],[stdev2]],4)</f>
        <v>2.7622792933625941</v>
      </c>
    </row>
    <row r="71" spans="8:20" x14ac:dyDescent="0.2">
      <c r="H71" s="99" t="s">
        <v>201</v>
      </c>
      <c r="I71" s="66">
        <f>AVERAGE(I49,I52)</f>
        <v>70.431001463240818</v>
      </c>
      <c r="J71" s="3">
        <f>STDEV(I49,I52)/2</f>
        <v>0.97344004357750169</v>
      </c>
      <c r="K71" s="3">
        <f>3.182*Table13[[#This Row],[SEM]]</f>
        <v>3.0974862186636103</v>
      </c>
      <c r="L71" s="3">
        <f>AVERAGE(J49,J52)</f>
        <v>8.3022304565227785</v>
      </c>
      <c r="M71" s="3">
        <f>STDEV(J49,J52)</f>
        <v>0.48548279131769156</v>
      </c>
      <c r="N71" s="3">
        <f>_xlfn.CONFIDENCE.T(0.05,Table13[[#This Row],[Stdev3]],4)</f>
        <v>0.77251145775390473</v>
      </c>
      <c r="O71" s="3">
        <f>AVERAGE(K49,K52)</f>
        <v>0.22613139513734531</v>
      </c>
      <c r="P71" s="3">
        <f>STDEV(K49,K52)</f>
        <v>4.3368538897006488E-2</v>
      </c>
      <c r="Q71" s="3">
        <f>_xlfn.CONFIDENCE.T(0.05,Table13[[#This Row],[Stdev4]],4)</f>
        <v>6.9009023189165561E-2</v>
      </c>
      <c r="R71" s="3">
        <f>AVERAGE(L49,L52)</f>
        <v>21.040636685099052</v>
      </c>
      <c r="S71" s="3">
        <f>STDEV(L49,L52)</f>
        <v>2.4757314173696972</v>
      </c>
      <c r="T71" s="3">
        <f>_xlfn.CONFIDENCE.T(0.05,Table13[[#This Row],[stdev2]],4)</f>
        <v>3.9394411510414966</v>
      </c>
    </row>
    <row r="72" spans="8:20" x14ac:dyDescent="0.2">
      <c r="H72" s="99" t="s">
        <v>202</v>
      </c>
      <c r="I72" s="66">
        <f>AVERAGE(I50,I53)</f>
        <v>56.904602038781135</v>
      </c>
      <c r="J72" s="3">
        <f>STDEV(I50,I53)/2</f>
        <v>0.44115537609464639</v>
      </c>
      <c r="K72" s="3">
        <f>3.182*Table13[[#This Row],[SEM]]</f>
        <v>1.4037564067331647</v>
      </c>
      <c r="L72" s="3">
        <f>AVERAGE(J50,J53)</f>
        <v>6.5650764985010692</v>
      </c>
      <c r="M72" s="3">
        <f>STDEV(J50,J53)</f>
        <v>3.341314301409742E-3</v>
      </c>
      <c r="N72" s="3">
        <f>_xlfn.CONFIDENCE.T(0.05,Table13[[#This Row],[Stdev3]],4)</f>
        <v>5.3167766766565256E-3</v>
      </c>
      <c r="O72" s="3">
        <f>AVERAGE(K50,K53)</f>
        <v>0.30299316198229853</v>
      </c>
      <c r="P72" s="3">
        <f>STDEV(K50,K53)</f>
        <v>1.7959583340159874E-2</v>
      </c>
      <c r="Q72" s="3">
        <f>_xlfn.CONFIDENCE.T(0.05,Table13[[#This Row],[Stdev4]],4)</f>
        <v>2.8577704822663322E-2</v>
      </c>
      <c r="R72" s="3">
        <f>AVERAGE(L50,L53)</f>
        <v>36.227328300735493</v>
      </c>
      <c r="S72" s="3">
        <f>STDEV(L50,L53)</f>
        <v>0.90361164983087194</v>
      </c>
      <c r="T72" s="3">
        <f>_xlfn.CONFIDENCE.T(0.05,Table13[[#This Row],[stdev2]],4)</f>
        <v>1.4378477782077876</v>
      </c>
    </row>
    <row r="73" spans="8:20" x14ac:dyDescent="0.2">
      <c r="H73" s="99" t="s">
        <v>203</v>
      </c>
      <c r="I73" s="66">
        <f>AVERAGE(I51,I54)</f>
        <v>73.167500000000004</v>
      </c>
      <c r="J73" s="3">
        <f>STDEV(I51,I54)/2</f>
        <v>0.35885669145217808</v>
      </c>
      <c r="K73" s="3">
        <f>3.182*Table13[[#This Row],[SEM]]</f>
        <v>1.1418819922008305</v>
      </c>
      <c r="L73" s="3">
        <f>AVERAGE(J51,J54)</f>
        <v>10.57</v>
      </c>
      <c r="M73" s="3">
        <f>STDEV(J51,J54)</f>
        <v>0.94045201897810704</v>
      </c>
      <c r="N73" s="3">
        <f>_xlfn.CONFIDENCE.T(0.05,Table13[[#This Row],[Stdev3]],4)</f>
        <v>1.4964690265467406</v>
      </c>
      <c r="O73" s="3">
        <f>AVERAGE(K51,K54)</f>
        <v>0.11750000000000001</v>
      </c>
      <c r="P73" s="3">
        <f>STDEV(K51,K54)</f>
        <v>2.4748737341529131E-2</v>
      </c>
      <c r="Q73" s="3">
        <f>_xlfn.CONFIDENCE.T(0.05,Table13[[#This Row],[Stdev4]],4)</f>
        <v>3.9380763856493174E-2</v>
      </c>
      <c r="R73" s="3">
        <f>AVERAGE(L51,L54)</f>
        <v>16.144999999999996</v>
      </c>
      <c r="S73" s="3">
        <f>STDEV(L51,L54)</f>
        <v>1.6334166645409265</v>
      </c>
      <c r="T73" s="3">
        <f>_xlfn.CONFIDENCE.T(0.05,Table13[[#This Row],[stdev2]],4)</f>
        <v>2.5991304145285556</v>
      </c>
    </row>
    <row r="74" spans="8:20" x14ac:dyDescent="0.2">
      <c r="H74" s="100" t="s">
        <v>207</v>
      </c>
      <c r="I74" s="66">
        <f>AVERAGE(I55,I58)</f>
        <v>69.697591810606042</v>
      </c>
      <c r="J74" s="3">
        <f>STDEV(I55,I58)/2</f>
        <v>0.18139057711145506</v>
      </c>
      <c r="K74" s="3">
        <f>3.182*Table13[[#This Row],[SEM]]</f>
        <v>0.57718481636865004</v>
      </c>
      <c r="L74" s="3">
        <f>AVERAGE(J58,J55)</f>
        <v>7.1169299915988624</v>
      </c>
      <c r="M74" s="3">
        <f>STDEV(J55,J58)</f>
        <v>0.10238048946546137</v>
      </c>
      <c r="N74" s="3">
        <f>_xlfn.CONFIDENCE.T(0.05,Table13[[#This Row],[Stdev3]],4)</f>
        <v>0.16291020521624761</v>
      </c>
      <c r="O74" s="3">
        <f>AVERAGE(K55,K58)</f>
        <v>3.0342045337221819</v>
      </c>
      <c r="P74" s="3">
        <f>STDEV(K55,K58)</f>
        <v>0.1226721209503204</v>
      </c>
      <c r="Q74" s="3">
        <f>_xlfn.CONFIDENCE.T(0.05,Table13[[#This Row],[Stdev4]],4)</f>
        <v>0.19519871903983171</v>
      </c>
      <c r="R74" s="3">
        <f>AVERAGE(L55,L58)</f>
        <v>20.151273664072903</v>
      </c>
      <c r="S74" s="3">
        <f>STDEV(L55,L58)</f>
        <v>0.13772854380712052</v>
      </c>
      <c r="T74" s="3">
        <f>_xlfn.CONFIDENCE.T(0.05,Table13[[#This Row],[stdev2]],4)</f>
        <v>0.21915684768553809</v>
      </c>
    </row>
    <row r="75" spans="8:20" x14ac:dyDescent="0.2">
      <c r="H75" s="98" t="s">
        <v>208</v>
      </c>
      <c r="I75" s="66">
        <f>AVERAGE(I56,I59)</f>
        <v>69.293593380171046</v>
      </c>
      <c r="J75" s="3">
        <f>STDEV(I56,I59)/2</f>
        <v>6.9677499700396453E-2</v>
      </c>
      <c r="K75" s="3">
        <f>3.182*Table13[[#This Row],[SEM]]</f>
        <v>0.22171380404666152</v>
      </c>
      <c r="L75" s="3">
        <f>AVERAGE(J59,J56)</f>
        <v>5.6864086449652005</v>
      </c>
      <c r="M75" s="3">
        <f>STDEV(J56,J59)</f>
        <v>0.11086827265073389</v>
      </c>
      <c r="N75" s="3">
        <f>_xlfn.CONFIDENCE.T(0.05,Table13[[#This Row],[Stdev3]],4)</f>
        <v>0.17641616233525748</v>
      </c>
      <c r="O75" s="3">
        <f>AVERAGE(K56,K59)</f>
        <v>3.9781066910372909</v>
      </c>
      <c r="P75" s="3">
        <f>STDEV(K56,K59)</f>
        <v>4.8421241156252223E-2</v>
      </c>
      <c r="Q75" s="3">
        <f>_xlfn.CONFIDENCE.T(0.05,Table13[[#This Row],[Stdev4]],4)</f>
        <v>7.7049000007483187E-2</v>
      </c>
      <c r="R75" s="3">
        <f>AVERAGE(L56,L59)</f>
        <v>21.041891283826459</v>
      </c>
      <c r="S75" s="3">
        <f>STDEV(L56,L59)</f>
        <v>0.29864451320777746</v>
      </c>
      <c r="T75" s="3">
        <f>_xlfn.CONFIDENCE.T(0.05,Table13[[#This Row],[stdev2]],4)</f>
        <v>0.4752100638256716</v>
      </c>
    </row>
    <row r="76" spans="8:20" x14ac:dyDescent="0.2">
      <c r="H76" s="98" t="s">
        <v>209</v>
      </c>
      <c r="I76" s="66">
        <f>AVERAGE(I57,I60)</f>
        <v>73.414999999999992</v>
      </c>
      <c r="J76" s="3">
        <f>STDEV(I57,I60)/2</f>
        <v>0.28991378028648207</v>
      </c>
      <c r="K76" s="3">
        <f>3.182*Table13[[#This Row],[SEM]]</f>
        <v>0.92250564887158593</v>
      </c>
      <c r="L76" s="3">
        <f>AVERAGE(J60,J57)</f>
        <v>11.647500000000001</v>
      </c>
      <c r="M76" s="3">
        <f>STDEV(J57,J60)</f>
        <v>0.20152543263816489</v>
      </c>
      <c r="N76" s="3">
        <f>_xlfn.CONFIDENCE.T(0.05,Table13[[#This Row],[Stdev3]],4)</f>
        <v>0.32067193426001445</v>
      </c>
      <c r="O76" s="3">
        <f>AVERAGE(K57,K60)</f>
        <v>1.4024999999999999</v>
      </c>
      <c r="P76" s="3">
        <f>STDEV(K57,K60)</f>
        <v>0.22980970388562877</v>
      </c>
      <c r="Q76" s="3">
        <f>_xlfn.CONFIDENCE.T(0.05,Table13[[#This Row],[Stdev4]],4)</f>
        <v>0.36567852152458125</v>
      </c>
      <c r="R76" s="3">
        <f>AVERAGE(L57,L60)</f>
        <v>13.535000000000011</v>
      </c>
      <c r="S76" s="3">
        <f>STDEV(L57,L60)</f>
        <v>0.55154328932550789</v>
      </c>
      <c r="T76" s="3">
        <f>_xlfn.CONFIDENCE.T(0.05,Table13[[#This Row],[stdev2]],4)</f>
        <v>0.87762845165899317</v>
      </c>
    </row>
    <row r="77" spans="8:20" x14ac:dyDescent="0.2">
      <c r="H77" s="3" t="s">
        <v>141</v>
      </c>
      <c r="I77" s="66">
        <f>'SWE_178 ultimate'!I153</f>
        <v>58.23306199567174</v>
      </c>
      <c r="K77" s="3">
        <f>'SWE_178 ultimate'!I155</f>
        <v>0.72182370499032322</v>
      </c>
      <c r="L77" s="3">
        <f>'SWE_178 ultimate'!J153</f>
        <v>7.809756499026598</v>
      </c>
      <c r="O77" s="3">
        <f>'SWE_178 ultimate'!K153</f>
        <v>2.5051847820897821</v>
      </c>
      <c r="R77" s="3">
        <f>'SWE_178 ultimate'!L153</f>
        <v>31.451996723211867</v>
      </c>
    </row>
    <row r="78" spans="8:20" ht="10.8" thickBot="1" x14ac:dyDescent="0.25">
      <c r="H78" s="3" t="s">
        <v>133</v>
      </c>
      <c r="I78" s="66">
        <f>'PE ultimate'!J20</f>
        <v>47.877867593914644</v>
      </c>
      <c r="K78" s="3">
        <f>_xlfn.T.TEST(C3:D3,C6:D6,2,3)</f>
        <v>5.6333876267778908E-2</v>
      </c>
      <c r="L78" s="66">
        <f>'PE ultimate'!K20</f>
        <v>7.7158813822607648</v>
      </c>
      <c r="O78" s="66">
        <f>'PE ultimate'!L20</f>
        <v>0.18507110141574784</v>
      </c>
      <c r="R78" s="66">
        <f>'PE ultimate'!M20</f>
        <v>44.221179922408837</v>
      </c>
    </row>
    <row r="79" spans="8:20" ht="10.8" thickTop="1" x14ac:dyDescent="0.2">
      <c r="H79" s="3" t="s">
        <v>132</v>
      </c>
      <c r="I79" s="104">
        <f>'PE ultimate'!J19</f>
        <v>56.696072385173309</v>
      </c>
      <c r="L79" s="66">
        <f>'PE ultimate'!K19</f>
        <v>7.972360511765503</v>
      </c>
      <c r="O79" s="104">
        <f>'PE ultimate'!L19</f>
        <v>1.5365103047355744</v>
      </c>
      <c r="R79" s="66">
        <f>'PE ultimate'!M19</f>
        <v>33.795056798325618</v>
      </c>
    </row>
  </sheetData>
  <mergeCells count="2">
    <mergeCell ref="I34:M34"/>
    <mergeCell ref="B34:H34"/>
  </mergeCells>
  <pageMargins left="0.7" right="0.7" top="0.75" bottom="0.75" header="0.3" footer="0.3"/>
  <tableParts count="3"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32"/>
  <sheetViews>
    <sheetView zoomScale="78" zoomScaleNormal="78" workbookViewId="0">
      <selection activeCell="C39" sqref="C39"/>
    </sheetView>
  </sheetViews>
  <sheetFormatPr defaultRowHeight="10.199999999999999" x14ac:dyDescent="0.2"/>
  <cols>
    <col min="1" max="1" width="24.28515625" style="3" customWidth="1"/>
    <col min="2" max="2" width="31.85546875" style="3" customWidth="1"/>
    <col min="3" max="3" width="33.85546875" style="3" bestFit="1" customWidth="1"/>
    <col min="4" max="4" width="18" style="3" bestFit="1" customWidth="1"/>
    <col min="5" max="5" width="25.85546875" style="3" bestFit="1" customWidth="1"/>
    <col min="6" max="6" width="19.140625" style="3" bestFit="1" customWidth="1"/>
    <col min="7" max="8" width="19" style="3" bestFit="1" customWidth="1"/>
    <col min="9" max="9" width="30.42578125" style="3" customWidth="1"/>
    <col min="10" max="10" width="40.28515625" style="3" bestFit="1" customWidth="1"/>
    <col min="11" max="11" width="20" style="3" customWidth="1"/>
    <col min="12" max="12" width="22.7109375" style="3" customWidth="1"/>
    <col min="13" max="13" width="39" style="3" customWidth="1"/>
    <col min="14" max="14" width="12.85546875" style="3" customWidth="1"/>
    <col min="15" max="18" width="9.140625" style="3"/>
    <col min="19" max="19" width="20.42578125" style="3" customWidth="1"/>
    <col min="20" max="16384" width="9.140625" style="3"/>
  </cols>
  <sheetData>
    <row r="1" spans="1:14" x14ac:dyDescent="0.2">
      <c r="A1" s="3" t="s">
        <v>0</v>
      </c>
      <c r="B1" s="3" t="s">
        <v>1</v>
      </c>
      <c r="C1" s="3" t="s">
        <v>226</v>
      </c>
      <c r="D1" s="3" t="s">
        <v>227</v>
      </c>
      <c r="E1" s="3" t="s">
        <v>135</v>
      </c>
      <c r="F1" s="3" t="s">
        <v>15</v>
      </c>
      <c r="G1" s="3" t="s">
        <v>228</v>
      </c>
      <c r="H1" s="3" t="s">
        <v>229</v>
      </c>
      <c r="I1" s="3" t="s">
        <v>136</v>
      </c>
      <c r="J1" s="3" t="s">
        <v>82</v>
      </c>
      <c r="K1" s="3" t="s">
        <v>230</v>
      </c>
      <c r="L1" s="3" t="s">
        <v>231</v>
      </c>
      <c r="M1" s="3" t="s">
        <v>137</v>
      </c>
      <c r="N1" s="3" t="s">
        <v>221</v>
      </c>
    </row>
    <row r="2" spans="1:14" x14ac:dyDescent="0.2">
      <c r="A2" s="3" t="s">
        <v>14</v>
      </c>
      <c r="B2" s="3" t="str">
        <f>'SWE_178 ultimate'!B2</f>
        <v>RAW</v>
      </c>
      <c r="C2" s="3">
        <v>91.085999999999999</v>
      </c>
      <c r="D2" s="3">
        <v>98.126000000000005</v>
      </c>
      <c r="E2" s="66">
        <f t="shared" ref="E2:E14" si="0">AVERAGE(C2:D2)</f>
        <v>94.605999999999995</v>
      </c>
      <c r="F2" s="3">
        <f>STDEV(Table613[[#This Row],[Volatile Matter B]:[Volatile Matter Average]])</f>
        <v>2.4890158697766545</v>
      </c>
      <c r="G2" s="3">
        <v>0</v>
      </c>
      <c r="H2" s="3">
        <v>0</v>
      </c>
      <c r="I2" s="3">
        <f>AVERAGE(Table613[[#This Row],[Fixed Carbon A]:[Fixed Carbon B]])</f>
        <v>0</v>
      </c>
      <c r="J2" s="3">
        <f>STDEV(Table613[[#This Row],[Fixed Carbon A]:[Fixed Carbon B]])</f>
        <v>0</v>
      </c>
      <c r="K2" s="3">
        <v>8.9140000000000015</v>
      </c>
      <c r="L2" s="3">
        <v>1.8739999999999952</v>
      </c>
      <c r="M2" s="3">
        <f>'SWE_178 ultimate'!M2</f>
        <v>2.375</v>
      </c>
      <c r="N2" s="3">
        <f>STDEV(Table613[[#This Row],[Ash A]:[Ash B]])</f>
        <v>4.9780317395532991</v>
      </c>
    </row>
    <row r="3" spans="1:14" x14ac:dyDescent="0.2">
      <c r="A3" s="75" t="s">
        <v>222</v>
      </c>
      <c r="C3" s="3">
        <v>68.926000000000002</v>
      </c>
      <c r="D3" s="3">
        <v>75.283000000000001</v>
      </c>
      <c r="E3" s="66">
        <f t="shared" si="0"/>
        <v>72.104500000000002</v>
      </c>
      <c r="F3" s="3">
        <f t="shared" ref="F3:F14" si="1">STDEV(C3:D3)</f>
        <v>4.4950778080028817</v>
      </c>
      <c r="G3" s="3">
        <v>28.848000000000003</v>
      </c>
      <c r="H3" s="3">
        <v>22.395</v>
      </c>
      <c r="I3" s="3">
        <f t="shared" ref="I3:I14" si="2">AVERAGE(G3:H3)</f>
        <v>25.621500000000001</v>
      </c>
      <c r="J3" s="3">
        <f t="shared" ref="J3:J14" si="3">STDEV(G3:H3)</f>
        <v>4.5629600589968105</v>
      </c>
      <c r="K3" s="3">
        <v>2.2259999999999955</v>
      </c>
      <c r="L3" s="3">
        <v>2.3219999999999992</v>
      </c>
      <c r="M3" s="3">
        <f>AVERAGE(K3:L3)</f>
        <v>2.2739999999999974</v>
      </c>
      <c r="N3" s="3">
        <f>STDEV(K3:L3)</f>
        <v>6.7882250993911139E-2</v>
      </c>
    </row>
    <row r="4" spans="1:14" x14ac:dyDescent="0.2">
      <c r="A4" s="75" t="s">
        <v>223</v>
      </c>
      <c r="B4" s="3" t="s">
        <v>103</v>
      </c>
      <c r="C4" s="3">
        <v>74.188999999999993</v>
      </c>
      <c r="D4" s="3">
        <v>74.188999999999993</v>
      </c>
      <c r="E4" s="66">
        <f t="shared" si="0"/>
        <v>74.188999999999993</v>
      </c>
      <c r="F4" s="3">
        <f t="shared" si="1"/>
        <v>0</v>
      </c>
      <c r="G4" s="3">
        <v>20.39</v>
      </c>
      <c r="H4" s="3">
        <v>20.704000000000001</v>
      </c>
      <c r="I4" s="3">
        <f t="shared" si="2"/>
        <v>20.547000000000001</v>
      </c>
      <c r="J4" s="3">
        <f t="shared" si="3"/>
        <v>0.22203152929257597</v>
      </c>
      <c r="K4" s="3">
        <v>5.4210000000000065</v>
      </c>
      <c r="L4" s="3">
        <v>6.3929999999999936</v>
      </c>
      <c r="M4" s="3">
        <f t="shared" ref="M4:M14" si="4">AVERAGE(K4:L4)</f>
        <v>5.907</v>
      </c>
      <c r="N4" s="3">
        <f t="shared" ref="N4:N14" si="5">STDEV(K4:L4)</f>
        <v>0.6873077913133151</v>
      </c>
    </row>
    <row r="5" spans="1:14" x14ac:dyDescent="0.2">
      <c r="A5" s="75" t="s">
        <v>224</v>
      </c>
      <c r="B5" s="3" t="s">
        <v>104</v>
      </c>
      <c r="C5" s="3">
        <v>0</v>
      </c>
      <c r="D5" s="3">
        <v>0</v>
      </c>
      <c r="E5" s="66">
        <f t="shared" si="0"/>
        <v>0</v>
      </c>
      <c r="F5" s="3">
        <f t="shared" si="1"/>
        <v>0</v>
      </c>
      <c r="G5" s="3">
        <v>0</v>
      </c>
      <c r="H5" s="3">
        <v>0</v>
      </c>
      <c r="I5" s="3">
        <f t="shared" si="2"/>
        <v>0</v>
      </c>
      <c r="J5" s="3">
        <f t="shared" si="3"/>
        <v>0</v>
      </c>
      <c r="K5" s="3">
        <v>100</v>
      </c>
      <c r="L5" s="3">
        <v>0</v>
      </c>
      <c r="M5" s="3">
        <f t="shared" si="4"/>
        <v>50</v>
      </c>
      <c r="N5" s="3">
        <f t="shared" si="5"/>
        <v>70.710678118654755</v>
      </c>
    </row>
    <row r="6" spans="1:14" x14ac:dyDescent="0.2">
      <c r="A6" s="75" t="s">
        <v>225</v>
      </c>
      <c r="B6" s="75"/>
      <c r="C6" s="3">
        <v>72.778000000000006</v>
      </c>
      <c r="D6" s="3">
        <v>71.218000000000004</v>
      </c>
      <c r="E6" s="66">
        <f t="shared" si="0"/>
        <v>71.998000000000005</v>
      </c>
      <c r="F6" s="3">
        <f t="shared" si="1"/>
        <v>1.1030865786510158</v>
      </c>
      <c r="G6" s="3">
        <v>20.303999999999998</v>
      </c>
      <c r="H6" s="3">
        <v>16.179999999999996</v>
      </c>
      <c r="I6" s="3">
        <f t="shared" si="2"/>
        <v>18.241999999999997</v>
      </c>
      <c r="J6" s="3">
        <f t="shared" si="3"/>
        <v>2.916108365613324</v>
      </c>
      <c r="K6" s="3">
        <v>6.9179999999999957</v>
      </c>
      <c r="L6" s="3">
        <v>12.602</v>
      </c>
      <c r="M6" s="3">
        <f t="shared" si="4"/>
        <v>9.759999999999998</v>
      </c>
      <c r="N6" s="3">
        <f t="shared" si="5"/>
        <v>4.0191949442643367</v>
      </c>
    </row>
    <row r="7" spans="1:14" x14ac:dyDescent="0.2">
      <c r="A7" s="76" t="s">
        <v>195</v>
      </c>
      <c r="B7" s="3" t="s">
        <v>103</v>
      </c>
      <c r="C7" s="3">
        <v>0</v>
      </c>
      <c r="D7" s="3">
        <v>0</v>
      </c>
      <c r="E7" s="66">
        <f t="shared" si="0"/>
        <v>0</v>
      </c>
      <c r="F7" s="3">
        <f t="shared" si="1"/>
        <v>0</v>
      </c>
      <c r="G7" s="3">
        <v>0</v>
      </c>
      <c r="H7" s="3">
        <v>0</v>
      </c>
      <c r="I7" s="3">
        <f t="shared" si="2"/>
        <v>0</v>
      </c>
      <c r="J7" s="3">
        <f t="shared" si="3"/>
        <v>0</v>
      </c>
      <c r="K7" s="3">
        <v>0</v>
      </c>
      <c r="L7" s="3">
        <v>100</v>
      </c>
      <c r="M7" s="3">
        <f t="shared" si="4"/>
        <v>50</v>
      </c>
      <c r="N7" s="3">
        <f t="shared" si="5"/>
        <v>70.710678118654755</v>
      </c>
    </row>
    <row r="8" spans="1:14" x14ac:dyDescent="0.2">
      <c r="A8" s="76" t="s">
        <v>196</v>
      </c>
      <c r="B8" s="3" t="s">
        <v>104</v>
      </c>
      <c r="C8" s="3">
        <v>0</v>
      </c>
      <c r="D8" s="3">
        <v>0</v>
      </c>
      <c r="E8" s="66">
        <f t="shared" si="0"/>
        <v>0</v>
      </c>
      <c r="F8" s="3">
        <f t="shared" si="1"/>
        <v>0</v>
      </c>
      <c r="G8" s="3">
        <v>0</v>
      </c>
      <c r="H8" s="3">
        <v>0</v>
      </c>
      <c r="I8" s="3">
        <f t="shared" si="2"/>
        <v>0</v>
      </c>
      <c r="J8" s="3">
        <f t="shared" si="3"/>
        <v>0</v>
      </c>
      <c r="K8" s="3">
        <v>0</v>
      </c>
      <c r="L8" s="3">
        <v>0</v>
      </c>
      <c r="M8" s="3">
        <f t="shared" si="4"/>
        <v>0</v>
      </c>
      <c r="N8" s="3">
        <f t="shared" si="5"/>
        <v>0</v>
      </c>
    </row>
    <row r="9" spans="1:14" x14ac:dyDescent="0.2">
      <c r="A9" s="76" t="s">
        <v>201</v>
      </c>
      <c r="C9" s="3">
        <v>71.664000000000001</v>
      </c>
      <c r="D9" s="3">
        <v>73.441000000000003</v>
      </c>
      <c r="E9" s="66">
        <f t="shared" si="0"/>
        <v>72.552500000000009</v>
      </c>
      <c r="F9" s="3">
        <f t="shared" si="1"/>
        <v>1.2565287501684956</v>
      </c>
      <c r="G9" s="3">
        <v>25.5594</v>
      </c>
      <c r="H9" s="3">
        <v>22.715</v>
      </c>
      <c r="I9" s="3">
        <f t="shared" si="2"/>
        <v>24.1372</v>
      </c>
      <c r="J9" s="3">
        <f t="shared" si="3"/>
        <v>2.0112945284070163</v>
      </c>
      <c r="K9" s="3">
        <v>2.7765999999999984</v>
      </c>
      <c r="L9" s="3">
        <v>3.8439999999999976</v>
      </c>
      <c r="M9" s="3">
        <f t="shared" si="4"/>
        <v>3.310299999999998</v>
      </c>
      <c r="N9" s="3">
        <f t="shared" si="5"/>
        <v>0.75476577823851787</v>
      </c>
    </row>
    <row r="10" spans="1:14" x14ac:dyDescent="0.2">
      <c r="A10" s="76" t="s">
        <v>202</v>
      </c>
      <c r="B10" s="3" t="s">
        <v>103</v>
      </c>
      <c r="C10" s="3">
        <v>78.320999999999998</v>
      </c>
      <c r="D10" s="3">
        <v>76.760000000000005</v>
      </c>
      <c r="E10" s="66">
        <f t="shared" si="0"/>
        <v>77.540500000000009</v>
      </c>
      <c r="F10" s="3">
        <f t="shared" si="1"/>
        <v>1.1037936854321957</v>
      </c>
      <c r="G10" s="3">
        <v>13.93</v>
      </c>
      <c r="H10" s="3">
        <v>16.509999999999998</v>
      </c>
      <c r="I10" s="3">
        <f t="shared" si="2"/>
        <v>15.219999999999999</v>
      </c>
      <c r="J10" s="3">
        <f t="shared" si="3"/>
        <v>1.8243354954612914</v>
      </c>
      <c r="K10" s="3">
        <v>-7.7490000000000023</v>
      </c>
      <c r="L10" s="3">
        <v>6.7299999999999969</v>
      </c>
      <c r="M10" s="3">
        <f t="shared" si="4"/>
        <v>-0.50950000000000273</v>
      </c>
      <c r="N10" s="3">
        <f t="shared" si="5"/>
        <v>10.238199084800021</v>
      </c>
    </row>
    <row r="11" spans="1:14" x14ac:dyDescent="0.2">
      <c r="A11" s="76" t="s">
        <v>203</v>
      </c>
      <c r="B11" s="3" t="s">
        <v>104</v>
      </c>
      <c r="C11" s="3">
        <v>0</v>
      </c>
      <c r="D11" s="3">
        <v>0</v>
      </c>
      <c r="E11" s="66">
        <f t="shared" si="0"/>
        <v>0</v>
      </c>
      <c r="F11" s="3">
        <f t="shared" si="1"/>
        <v>0</v>
      </c>
      <c r="G11" s="3">
        <v>0</v>
      </c>
      <c r="H11" s="3">
        <v>0</v>
      </c>
      <c r="I11" s="3">
        <f t="shared" si="2"/>
        <v>0</v>
      </c>
      <c r="J11" s="3">
        <f t="shared" si="3"/>
        <v>0</v>
      </c>
      <c r="K11" s="3">
        <v>100</v>
      </c>
      <c r="L11" s="3">
        <v>0</v>
      </c>
      <c r="M11" s="3">
        <f t="shared" si="4"/>
        <v>50</v>
      </c>
      <c r="N11" s="3">
        <f t="shared" si="5"/>
        <v>70.710678118654755</v>
      </c>
    </row>
    <row r="12" spans="1:14" x14ac:dyDescent="0.2">
      <c r="A12" s="77" t="s">
        <v>207</v>
      </c>
      <c r="C12" s="3">
        <v>68.063000000000002</v>
      </c>
      <c r="D12" s="3">
        <v>73.373000000000005</v>
      </c>
      <c r="E12" s="66">
        <f t="shared" si="0"/>
        <v>70.718000000000004</v>
      </c>
      <c r="F12" s="3">
        <f t="shared" si="1"/>
        <v>3.7547370081005687</v>
      </c>
      <c r="G12" s="3">
        <v>20.456</v>
      </c>
      <c r="H12" s="3">
        <v>22.759</v>
      </c>
      <c r="I12" s="3">
        <f t="shared" si="2"/>
        <v>21.607500000000002</v>
      </c>
      <c r="J12" s="3">
        <f t="shared" si="3"/>
        <v>1.6284669170726196</v>
      </c>
      <c r="K12" s="3">
        <v>11.480999999999998</v>
      </c>
      <c r="L12" s="3">
        <v>3.867999999999995</v>
      </c>
      <c r="M12" s="3">
        <f t="shared" si="4"/>
        <v>7.6744999999999965</v>
      </c>
      <c r="N12" s="3">
        <f t="shared" si="5"/>
        <v>5.3832039251731896</v>
      </c>
    </row>
    <row r="13" spans="1:14" x14ac:dyDescent="0.2">
      <c r="A13" s="75" t="s">
        <v>208</v>
      </c>
      <c r="B13" s="3" t="s">
        <v>103</v>
      </c>
      <c r="C13" s="3">
        <v>72.710000000000008</v>
      </c>
      <c r="D13" s="3">
        <v>71.918999999999997</v>
      </c>
      <c r="E13" s="66">
        <f t="shared" si="0"/>
        <v>72.31450000000001</v>
      </c>
      <c r="F13" s="3">
        <f t="shared" si="1"/>
        <v>0.55932146391856685</v>
      </c>
      <c r="G13" s="3">
        <v>19.606000000000002</v>
      </c>
      <c r="H13" s="3">
        <v>21.114000000000001</v>
      </c>
      <c r="I13" s="3">
        <f t="shared" si="2"/>
        <v>20.36</v>
      </c>
      <c r="J13" s="3">
        <f t="shared" si="3"/>
        <v>1.0663170260293131</v>
      </c>
      <c r="K13" s="3">
        <v>7.6839999999999904</v>
      </c>
      <c r="L13" s="3">
        <v>6.9670000000000023</v>
      </c>
      <c r="M13" s="3">
        <f t="shared" si="4"/>
        <v>7.3254999999999963</v>
      </c>
      <c r="N13" s="3">
        <f t="shared" si="5"/>
        <v>0.50699556211074615</v>
      </c>
    </row>
    <row r="14" spans="1:14" x14ac:dyDescent="0.2">
      <c r="A14" s="75" t="s">
        <v>209</v>
      </c>
      <c r="B14" s="3" t="s">
        <v>104</v>
      </c>
      <c r="C14" s="3">
        <v>0</v>
      </c>
      <c r="D14" s="3">
        <v>0</v>
      </c>
      <c r="E14" s="66">
        <f t="shared" si="0"/>
        <v>0</v>
      </c>
      <c r="F14" s="3">
        <f t="shared" si="1"/>
        <v>0</v>
      </c>
      <c r="G14" s="3">
        <v>0</v>
      </c>
      <c r="H14" s="3">
        <v>0</v>
      </c>
      <c r="I14" s="3">
        <f t="shared" si="2"/>
        <v>0</v>
      </c>
      <c r="J14" s="3">
        <f t="shared" si="3"/>
        <v>0</v>
      </c>
      <c r="K14" s="3">
        <v>100</v>
      </c>
      <c r="L14" s="3">
        <v>0</v>
      </c>
      <c r="M14" s="3">
        <f t="shared" si="4"/>
        <v>50</v>
      </c>
      <c r="N14" s="3">
        <f t="shared" si="5"/>
        <v>70.710678118654755</v>
      </c>
    </row>
    <row r="18" spans="1:14" x14ac:dyDescent="0.2">
      <c r="I18" s="3" t="s">
        <v>233</v>
      </c>
    </row>
    <row r="19" spans="1:14" x14ac:dyDescent="0.2">
      <c r="A19" s="78" t="s">
        <v>0</v>
      </c>
      <c r="B19" s="3" t="s">
        <v>234</v>
      </c>
      <c r="C19" s="3" t="s">
        <v>235</v>
      </c>
      <c r="D19" s="3" t="s">
        <v>236</v>
      </c>
      <c r="E19" s="3" t="s">
        <v>237</v>
      </c>
      <c r="F19" s="3" t="s">
        <v>238</v>
      </c>
      <c r="G19" s="3" t="s">
        <v>239</v>
      </c>
      <c r="H19" s="3" t="s">
        <v>232</v>
      </c>
      <c r="I19" s="3" t="s">
        <v>135</v>
      </c>
      <c r="J19" s="3" t="s">
        <v>15</v>
      </c>
      <c r="K19" s="3" t="s">
        <v>136</v>
      </c>
      <c r="L19" s="3" t="s">
        <v>82</v>
      </c>
      <c r="M19" s="3" t="s">
        <v>137</v>
      </c>
      <c r="N19" s="3" t="s">
        <v>221</v>
      </c>
    </row>
    <row r="20" spans="1:14" x14ac:dyDescent="0.2">
      <c r="A20" s="79" t="s">
        <v>14</v>
      </c>
      <c r="B20" s="3">
        <f t="shared" ref="B20:B32" si="6">E2</f>
        <v>94.605999999999995</v>
      </c>
      <c r="C20" s="3">
        <f t="shared" ref="C20:C32" si="7">F2</f>
        <v>2.4890158697766545</v>
      </c>
      <c r="D20" s="3">
        <f t="shared" ref="D20:D32" si="8">I2</f>
        <v>0</v>
      </c>
      <c r="E20" s="3">
        <f t="shared" ref="E20:E32" si="9">J2</f>
        <v>0</v>
      </c>
      <c r="F20" s="3">
        <f t="shared" ref="F20:F32" si="10">M2</f>
        <v>2.375</v>
      </c>
      <c r="G20" s="3">
        <f t="shared" ref="G20:G32" si="11">N2</f>
        <v>4.9780317395532991</v>
      </c>
      <c r="H20" s="3">
        <v>1.0727894087517655</v>
      </c>
      <c r="I20" s="3">
        <f>B20*H20</f>
        <v>101.49231480436953</v>
      </c>
      <c r="J20" s="3">
        <f>C20*H20</f>
        <v>2.6701898633114585</v>
      </c>
      <c r="K20" s="3">
        <f>D20*H20</f>
        <v>0</v>
      </c>
      <c r="L20" s="3">
        <f>E20*H20</f>
        <v>0</v>
      </c>
      <c r="M20" s="3">
        <f>F20*H20</f>
        <v>2.5478748457854432</v>
      </c>
      <c r="N20" s="3">
        <f>G20*H20</f>
        <v>5.3403797266229063</v>
      </c>
    </row>
    <row r="21" spans="1:14" x14ac:dyDescent="0.2">
      <c r="A21" s="80" t="s">
        <v>222</v>
      </c>
      <c r="B21" s="3">
        <f t="shared" si="6"/>
        <v>72.104500000000002</v>
      </c>
      <c r="C21" s="3">
        <f t="shared" si="7"/>
        <v>4.4950778080028817</v>
      </c>
      <c r="D21" s="3">
        <f t="shared" si="8"/>
        <v>25.621500000000001</v>
      </c>
      <c r="E21" s="3">
        <f t="shared" si="9"/>
        <v>4.5629600589968105</v>
      </c>
      <c r="F21" s="3">
        <f t="shared" si="10"/>
        <v>2.2739999999999974</v>
      </c>
      <c r="G21" s="3">
        <f t="shared" si="11"/>
        <v>6.7882250993911139E-2</v>
      </c>
      <c r="H21" s="3">
        <v>1.0116368514358842</v>
      </c>
      <c r="I21" s="3">
        <f t="shared" ref="I21:I32" si="12">B21*H21</f>
        <v>72.943569354358715</v>
      </c>
      <c r="J21" s="3">
        <f t="shared" ref="J21:J32" si="13">C21*H21</f>
        <v>4.5473863606473515</v>
      </c>
      <c r="K21" s="3">
        <f t="shared" ref="K21:K32" si="14">D21*H21</f>
        <v>25.919653589064509</v>
      </c>
      <c r="L21" s="3">
        <f t="shared" ref="L21:L32" si="15">E21*H21</f>
        <v>4.6160585473112299</v>
      </c>
      <c r="M21" s="3">
        <f t="shared" ref="M21:M32" si="16">F21*H21</f>
        <v>2.3004622001651982</v>
      </c>
      <c r="N21" s="3">
        <f t="shared" ref="N21:N32" si="17">G21*H21</f>
        <v>6.8672186663860685E-2</v>
      </c>
    </row>
    <row r="22" spans="1:14" x14ac:dyDescent="0.2">
      <c r="A22" s="80" t="s">
        <v>223</v>
      </c>
      <c r="B22" s="3">
        <f t="shared" si="6"/>
        <v>74.188999999999993</v>
      </c>
      <c r="C22" s="3">
        <f t="shared" si="7"/>
        <v>0</v>
      </c>
      <c r="D22" s="3">
        <f t="shared" si="8"/>
        <v>20.547000000000001</v>
      </c>
      <c r="E22" s="3">
        <f t="shared" si="9"/>
        <v>0.22203152929257597</v>
      </c>
      <c r="F22" s="3">
        <f t="shared" si="10"/>
        <v>5.907</v>
      </c>
      <c r="G22" s="3">
        <f t="shared" si="11"/>
        <v>0.6873077913133151</v>
      </c>
      <c r="H22" s="3">
        <v>1.0555315806319028</v>
      </c>
      <c r="I22" s="3">
        <f t="shared" si="12"/>
        <v>78.308832435500221</v>
      </c>
      <c r="J22" s="3">
        <f t="shared" si="13"/>
        <v>0</v>
      </c>
      <c r="K22" s="3">
        <f t="shared" si="14"/>
        <v>21.688007387243708</v>
      </c>
      <c r="L22" s="3">
        <f t="shared" si="15"/>
        <v>0.23436129106431133</v>
      </c>
      <c r="M22" s="3">
        <f t="shared" si="16"/>
        <v>6.23502504679265</v>
      </c>
      <c r="N22" s="3">
        <f t="shared" si="17"/>
        <v>0.72547507934556543</v>
      </c>
    </row>
    <row r="23" spans="1:14" x14ac:dyDescent="0.2">
      <c r="A23" s="80" t="s">
        <v>224</v>
      </c>
      <c r="B23" s="3">
        <f t="shared" si="6"/>
        <v>0</v>
      </c>
      <c r="C23" s="3">
        <f t="shared" si="7"/>
        <v>0</v>
      </c>
      <c r="D23" s="3">
        <f t="shared" si="8"/>
        <v>0</v>
      </c>
      <c r="E23" s="3">
        <f t="shared" si="9"/>
        <v>0</v>
      </c>
      <c r="F23" s="3">
        <f t="shared" si="10"/>
        <v>50</v>
      </c>
      <c r="G23" s="3">
        <f t="shared" si="11"/>
        <v>70.710678118654755</v>
      </c>
      <c r="H23" s="3">
        <v>1</v>
      </c>
      <c r="I23" s="3">
        <f t="shared" si="12"/>
        <v>0</v>
      </c>
      <c r="J23" s="3">
        <f t="shared" si="13"/>
        <v>0</v>
      </c>
      <c r="K23" s="3">
        <f t="shared" si="14"/>
        <v>0</v>
      </c>
      <c r="L23" s="3">
        <f t="shared" si="15"/>
        <v>0</v>
      </c>
      <c r="M23" s="3">
        <f t="shared" si="16"/>
        <v>50</v>
      </c>
      <c r="N23" s="3">
        <f t="shared" si="17"/>
        <v>70.710678118654755</v>
      </c>
    </row>
    <row r="24" spans="1:14" x14ac:dyDescent="0.2">
      <c r="A24" s="80" t="s">
        <v>225</v>
      </c>
      <c r="B24" s="3">
        <f t="shared" si="6"/>
        <v>71.998000000000005</v>
      </c>
      <c r="C24" s="3">
        <f t="shared" si="7"/>
        <v>1.1030865786510158</v>
      </c>
      <c r="D24" s="3">
        <f t="shared" si="8"/>
        <v>18.241999999999997</v>
      </c>
      <c r="E24" s="3">
        <f t="shared" si="9"/>
        <v>2.916108365613324</v>
      </c>
      <c r="F24" s="3">
        <f t="shared" si="10"/>
        <v>9.759999999999998</v>
      </c>
      <c r="G24" s="3">
        <f t="shared" si="11"/>
        <v>4.0191949442643367</v>
      </c>
      <c r="H24" s="3">
        <v>1.0212763070772226</v>
      </c>
      <c r="I24" s="3">
        <f t="shared" si="12"/>
        <v>73.529851556945871</v>
      </c>
      <c r="J24" s="3">
        <f t="shared" si="13"/>
        <v>1.1265561874311576</v>
      </c>
      <c r="K24" s="3">
        <f t="shared" si="14"/>
        <v>18.630122393702692</v>
      </c>
      <c r="L24" s="3">
        <f t="shared" si="15"/>
        <v>2.9781523826705709</v>
      </c>
      <c r="M24" s="3">
        <f t="shared" si="16"/>
        <v>9.9676567570736907</v>
      </c>
      <c r="N24" s="3">
        <f t="shared" si="17"/>
        <v>4.1047085701017254</v>
      </c>
    </row>
    <row r="25" spans="1:14" x14ac:dyDescent="0.2">
      <c r="A25" s="81" t="s">
        <v>195</v>
      </c>
      <c r="B25" s="3">
        <f t="shared" si="6"/>
        <v>0</v>
      </c>
      <c r="C25" s="3">
        <f t="shared" si="7"/>
        <v>0</v>
      </c>
      <c r="D25" s="3">
        <f t="shared" si="8"/>
        <v>0</v>
      </c>
      <c r="E25" s="3">
        <f t="shared" si="9"/>
        <v>0</v>
      </c>
      <c r="F25" s="3">
        <f t="shared" si="10"/>
        <v>50</v>
      </c>
      <c r="G25" s="3">
        <f t="shared" si="11"/>
        <v>70.710678118654755</v>
      </c>
      <c r="H25" s="3">
        <v>1</v>
      </c>
      <c r="I25" s="3">
        <f t="shared" si="12"/>
        <v>0</v>
      </c>
      <c r="J25" s="3">
        <f t="shared" si="13"/>
        <v>0</v>
      </c>
      <c r="K25" s="3">
        <f t="shared" si="14"/>
        <v>0</v>
      </c>
      <c r="L25" s="3">
        <f t="shared" si="15"/>
        <v>0</v>
      </c>
      <c r="M25" s="3">
        <f t="shared" si="16"/>
        <v>50</v>
      </c>
      <c r="N25" s="3">
        <f t="shared" si="17"/>
        <v>70.710678118654755</v>
      </c>
    </row>
    <row r="26" spans="1:14" x14ac:dyDescent="0.2">
      <c r="A26" s="81" t="s">
        <v>196</v>
      </c>
      <c r="B26" s="3">
        <f t="shared" si="6"/>
        <v>0</v>
      </c>
      <c r="C26" s="3">
        <f t="shared" si="7"/>
        <v>0</v>
      </c>
      <c r="D26" s="3">
        <f t="shared" si="8"/>
        <v>0</v>
      </c>
      <c r="E26" s="3">
        <f t="shared" si="9"/>
        <v>0</v>
      </c>
      <c r="F26" s="3">
        <f t="shared" si="10"/>
        <v>0</v>
      </c>
      <c r="G26" s="3">
        <f t="shared" si="11"/>
        <v>0</v>
      </c>
      <c r="H26" s="3">
        <v>0</v>
      </c>
      <c r="I26" s="3">
        <f t="shared" si="12"/>
        <v>0</v>
      </c>
      <c r="J26" s="3">
        <f t="shared" si="13"/>
        <v>0</v>
      </c>
      <c r="K26" s="3">
        <f t="shared" si="14"/>
        <v>0</v>
      </c>
      <c r="L26" s="3">
        <f t="shared" si="15"/>
        <v>0</v>
      </c>
      <c r="M26" s="3">
        <f t="shared" si="16"/>
        <v>0</v>
      </c>
      <c r="N26" s="3">
        <f t="shared" si="17"/>
        <v>0</v>
      </c>
    </row>
    <row r="27" spans="1:14" x14ac:dyDescent="0.2">
      <c r="A27" s="81" t="s">
        <v>201</v>
      </c>
      <c r="B27" s="3">
        <f t="shared" si="6"/>
        <v>72.552500000000009</v>
      </c>
      <c r="C27" s="3">
        <f t="shared" si="7"/>
        <v>1.2565287501684956</v>
      </c>
      <c r="D27" s="3">
        <f t="shared" si="8"/>
        <v>24.1372</v>
      </c>
      <c r="E27" s="3">
        <f t="shared" si="9"/>
        <v>2.0112945284070163</v>
      </c>
      <c r="F27" s="3">
        <f t="shared" si="10"/>
        <v>3.310299999999998</v>
      </c>
      <c r="G27" s="3">
        <f t="shared" si="11"/>
        <v>0.75476577823851787</v>
      </c>
      <c r="H27" s="3">
        <v>1.0047175116656797</v>
      </c>
      <c r="I27" s="3">
        <f t="shared" si="12"/>
        <v>72.89476726512423</v>
      </c>
      <c r="J27" s="3">
        <f t="shared" si="13"/>
        <v>1.2624564392056774</v>
      </c>
      <c r="K27" s="3">
        <f t="shared" si="14"/>
        <v>24.251067522576843</v>
      </c>
      <c r="L27" s="3">
        <f t="shared" si="15"/>
        <v>2.0207828338078939</v>
      </c>
      <c r="M27" s="3">
        <f t="shared" si="16"/>
        <v>3.3259163788668973</v>
      </c>
      <c r="N27" s="3">
        <f t="shared" si="17"/>
        <v>0.75832639460221385</v>
      </c>
    </row>
    <row r="28" spans="1:14" x14ac:dyDescent="0.2">
      <c r="A28" s="81" t="s">
        <v>202</v>
      </c>
      <c r="B28" s="3">
        <f t="shared" si="6"/>
        <v>77.540500000000009</v>
      </c>
      <c r="C28" s="3">
        <f t="shared" si="7"/>
        <v>1.1037936854321957</v>
      </c>
      <c r="D28" s="3">
        <f t="shared" si="8"/>
        <v>15.219999999999999</v>
      </c>
      <c r="E28" s="3">
        <f t="shared" si="9"/>
        <v>1.8243354954612914</v>
      </c>
      <c r="F28" s="3">
        <f t="shared" si="10"/>
        <v>-0.50950000000000273</v>
      </c>
      <c r="G28" s="3">
        <f t="shared" si="11"/>
        <v>10.238199084800021</v>
      </c>
      <c r="H28" s="3">
        <v>1.0359105162790798</v>
      </c>
      <c r="I28" s="3">
        <f t="shared" si="12"/>
        <v>80.325019387537992</v>
      </c>
      <c r="J28" s="3">
        <f t="shared" si="13"/>
        <v>1.1434314865416542</v>
      </c>
      <c r="K28" s="3">
        <f t="shared" si="14"/>
        <v>15.766558057767593</v>
      </c>
      <c r="L28" s="3">
        <f t="shared" si="15"/>
        <v>1.8898483249695572</v>
      </c>
      <c r="M28" s="3">
        <f t="shared" si="16"/>
        <v>-0.52779640804419403</v>
      </c>
      <c r="N28" s="3">
        <f t="shared" si="17"/>
        <v>10.605858099703193</v>
      </c>
    </row>
    <row r="29" spans="1:14" x14ac:dyDescent="0.2">
      <c r="A29" s="81" t="s">
        <v>203</v>
      </c>
      <c r="B29" s="3">
        <f t="shared" si="6"/>
        <v>0</v>
      </c>
      <c r="C29" s="3">
        <f t="shared" si="7"/>
        <v>0</v>
      </c>
      <c r="D29" s="3">
        <f t="shared" si="8"/>
        <v>0</v>
      </c>
      <c r="E29" s="3">
        <f t="shared" si="9"/>
        <v>0</v>
      </c>
      <c r="F29" s="3">
        <f t="shared" si="10"/>
        <v>50</v>
      </c>
      <c r="G29" s="3">
        <f t="shared" si="11"/>
        <v>70.710678118654755</v>
      </c>
      <c r="H29" s="3">
        <v>0</v>
      </c>
      <c r="I29" s="3">
        <f t="shared" si="12"/>
        <v>0</v>
      </c>
      <c r="J29" s="3">
        <f t="shared" si="13"/>
        <v>0</v>
      </c>
      <c r="K29" s="3">
        <f t="shared" si="14"/>
        <v>0</v>
      </c>
      <c r="L29" s="3">
        <f t="shared" si="15"/>
        <v>0</v>
      </c>
      <c r="M29" s="3">
        <f t="shared" si="16"/>
        <v>0</v>
      </c>
      <c r="N29" s="3">
        <f t="shared" si="17"/>
        <v>0</v>
      </c>
    </row>
    <row r="30" spans="1:14" x14ac:dyDescent="0.2">
      <c r="A30" s="82" t="s">
        <v>207</v>
      </c>
      <c r="B30" s="3">
        <f t="shared" si="6"/>
        <v>70.718000000000004</v>
      </c>
      <c r="C30" s="3">
        <f t="shared" si="7"/>
        <v>3.7547370081005687</v>
      </c>
      <c r="D30" s="3">
        <f t="shared" si="8"/>
        <v>21.607500000000002</v>
      </c>
      <c r="E30" s="3">
        <f t="shared" si="9"/>
        <v>1.6284669170726196</v>
      </c>
      <c r="F30" s="3">
        <f t="shared" si="10"/>
        <v>7.6744999999999965</v>
      </c>
      <c r="G30" s="3">
        <f t="shared" si="11"/>
        <v>5.3832039251731896</v>
      </c>
      <c r="H30" s="3">
        <v>1.0130840232927301</v>
      </c>
      <c r="I30" s="66">
        <f t="shared" si="12"/>
        <v>71.643275959215288</v>
      </c>
      <c r="J30" s="3">
        <f t="shared" si="13"/>
        <v>3.803864074572632</v>
      </c>
      <c r="K30" s="3">
        <f t="shared" si="14"/>
        <v>21.890213033297666</v>
      </c>
      <c r="L30" s="3">
        <f t="shared" si="15"/>
        <v>1.6497738161470381</v>
      </c>
      <c r="M30" s="3">
        <f t="shared" si="16"/>
        <v>7.7749133367600534</v>
      </c>
      <c r="N30" s="3">
        <f t="shared" si="17"/>
        <v>5.4536378907196719</v>
      </c>
    </row>
    <row r="31" spans="1:14" x14ac:dyDescent="0.2">
      <c r="A31" s="80" t="s">
        <v>208</v>
      </c>
      <c r="B31" s="3">
        <f t="shared" si="6"/>
        <v>72.31450000000001</v>
      </c>
      <c r="C31" s="3">
        <f t="shared" si="7"/>
        <v>0.55932146391856685</v>
      </c>
      <c r="D31" s="3">
        <f t="shared" si="8"/>
        <v>20.36</v>
      </c>
      <c r="E31" s="3">
        <f t="shared" si="9"/>
        <v>1.0663170260293131</v>
      </c>
      <c r="F31" s="3">
        <f t="shared" si="10"/>
        <v>7.3254999999999963</v>
      </c>
      <c r="G31" s="3">
        <f t="shared" si="11"/>
        <v>0.50699556211074615</v>
      </c>
      <c r="H31" s="3">
        <v>1.044797614146725</v>
      </c>
      <c r="I31" s="66">
        <f t="shared" si="12"/>
        <v>75.554017068213355</v>
      </c>
      <c r="J31" s="3">
        <f t="shared" si="13"/>
        <v>0.58437773104317214</v>
      </c>
      <c r="K31" s="3">
        <f t="shared" si="14"/>
        <v>21.272079424027321</v>
      </c>
      <c r="L31" s="3">
        <f t="shared" si="15"/>
        <v>1.1140854847194577</v>
      </c>
      <c r="M31" s="3">
        <f t="shared" si="16"/>
        <v>7.6536649224318305</v>
      </c>
      <c r="N31" s="3">
        <f t="shared" si="17"/>
        <v>0.52970775367628531</v>
      </c>
    </row>
    <row r="32" spans="1:14" x14ac:dyDescent="0.2">
      <c r="A32" s="80" t="s">
        <v>209</v>
      </c>
      <c r="B32" s="3">
        <f t="shared" si="6"/>
        <v>0</v>
      </c>
      <c r="C32" s="3">
        <f t="shared" si="7"/>
        <v>0</v>
      </c>
      <c r="D32" s="3">
        <f t="shared" si="8"/>
        <v>0</v>
      </c>
      <c r="E32" s="3">
        <f t="shared" si="9"/>
        <v>0</v>
      </c>
      <c r="F32" s="3">
        <f t="shared" si="10"/>
        <v>50</v>
      </c>
      <c r="G32" s="3">
        <f t="shared" si="11"/>
        <v>70.710678118654755</v>
      </c>
      <c r="H32" s="3">
        <v>0</v>
      </c>
      <c r="I32" s="66">
        <f t="shared" si="12"/>
        <v>0</v>
      </c>
      <c r="J32" s="3">
        <f t="shared" si="13"/>
        <v>0</v>
      </c>
      <c r="K32" s="3">
        <f t="shared" si="14"/>
        <v>0</v>
      </c>
      <c r="L32" s="3">
        <f t="shared" si="15"/>
        <v>0</v>
      </c>
      <c r="M32" s="3">
        <f t="shared" si="16"/>
        <v>0</v>
      </c>
      <c r="N32" s="3">
        <f t="shared" si="17"/>
        <v>0</v>
      </c>
    </row>
  </sheetData>
  <pageMargins left="0.7" right="0.7" top="0.75" bottom="0.75" header="0.3" footer="0.3"/>
  <tableParts count="2">
    <tablePart r:id="rId1"/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4:Q97"/>
  <sheetViews>
    <sheetView topLeftCell="A64" zoomScale="75" zoomScaleNormal="75" workbookViewId="0">
      <selection activeCell="J97" sqref="J97"/>
    </sheetView>
  </sheetViews>
  <sheetFormatPr defaultRowHeight="10.199999999999999" x14ac:dyDescent="0.2"/>
  <cols>
    <col min="1" max="1" width="38" style="3" customWidth="1"/>
    <col min="2" max="2" width="13" style="3" customWidth="1"/>
    <col min="3" max="3" width="14.7109375" style="3" customWidth="1"/>
    <col min="4" max="4" width="17.85546875" style="3" bestFit="1" customWidth="1"/>
    <col min="5" max="5" width="24" style="3" customWidth="1"/>
    <col min="6" max="6" width="23.140625" style="3" customWidth="1"/>
    <col min="7" max="8" width="19.7109375" style="3" customWidth="1"/>
    <col min="9" max="9" width="27.42578125" style="3" bestFit="1" customWidth="1"/>
    <col min="10" max="10" width="20.42578125" style="3" customWidth="1"/>
    <col min="11" max="11" width="18.85546875" style="3" customWidth="1"/>
    <col min="12" max="12" width="20.7109375" style="3" customWidth="1"/>
    <col min="13" max="13" width="34.140625" style="3" customWidth="1"/>
    <col min="14" max="14" width="44" style="3" bestFit="1" customWidth="1"/>
    <col min="15" max="15" width="28.140625" style="3" bestFit="1" customWidth="1"/>
    <col min="16" max="16" width="30.28515625" style="3" customWidth="1"/>
    <col min="17" max="16384" width="9.140625" style="3"/>
  </cols>
  <sheetData>
    <row r="4" spans="1:14" x14ac:dyDescent="0.2">
      <c r="A4" s="63" t="s">
        <v>23</v>
      </c>
      <c r="B4" s="63" t="s">
        <v>17</v>
      </c>
      <c r="C4" s="63" t="s">
        <v>18</v>
      </c>
      <c r="D4" s="63" t="s">
        <v>19</v>
      </c>
      <c r="E4" s="63" t="s">
        <v>20</v>
      </c>
      <c r="F4" s="63" t="s">
        <v>21</v>
      </c>
      <c r="G4" s="63" t="s">
        <v>24</v>
      </c>
      <c r="H4" s="63" t="s">
        <v>22</v>
      </c>
      <c r="I4" s="64" t="s">
        <v>241</v>
      </c>
      <c r="J4" s="64" t="s">
        <v>240</v>
      </c>
      <c r="K4" s="63" t="s">
        <v>86</v>
      </c>
      <c r="L4" s="63" t="s">
        <v>16</v>
      </c>
      <c r="M4" s="63" t="s">
        <v>101</v>
      </c>
      <c r="N4" s="63" t="s">
        <v>121</v>
      </c>
    </row>
    <row r="5" spans="1:14" x14ac:dyDescent="0.2">
      <c r="A5" s="3" t="s">
        <v>14</v>
      </c>
      <c r="B5" s="3">
        <f>3.55*'HTC223 ultimate'!C2^2</f>
        <v>8691.359919999999</v>
      </c>
      <c r="C5" s="3">
        <f>232*'HTC223 ultimate'!C2</f>
        <v>11479.359999999999</v>
      </c>
      <c r="D5" s="3">
        <f>2230*'HTC223 ultimate'!G2</f>
        <v>16145.2</v>
      </c>
      <c r="E5" s="3">
        <f>(51.2*'HTC223 ultimate'!C2)*('HTC223 ultimate'!G2)</f>
        <v>18341.642240000001</v>
      </c>
      <c r="F5" s="3">
        <f>131*'HTC223 ultimate'!L2</f>
        <v>313.09000000000003</v>
      </c>
      <c r="G5" s="3" t="str">
        <f>Table4[[#Headers],[20600]]</f>
        <v>20600</v>
      </c>
      <c r="H5" s="65">
        <f t="shared" ref="H5:H36" si="0">B5-C5-D5+E5+F5+G5</f>
        <v>20321.532159999999</v>
      </c>
      <c r="I5" s="66">
        <f>Table4[[#This Row],[HHV kJ/kg]]/1000</f>
        <v>20.32153216</v>
      </c>
      <c r="J5" s="66">
        <f>Table4[[#This Row],[HHV MJ/kg ar]]*'HTC223 ultimate'!M36</f>
        <v>21.800710357775035</v>
      </c>
      <c r="K5" s="67">
        <f>AVERAGE(Table4[[#This Row],[HHV MJ/kg ar]],I6)</f>
        <v>20.280329417499999</v>
      </c>
      <c r="L5" s="65">
        <f>STDEV(Table4[[#This Row],[HHV MJ/kg ar]],I6)</f>
        <v>5.8269477250465544E-2</v>
      </c>
      <c r="M5" s="68">
        <f>Table4[[#This Row],[AVERAGE HHV (as received basis)]]*'HTC223 ultimate'!M36</f>
        <v>21.756508520624362</v>
      </c>
      <c r="N5" s="65">
        <f>Table4[[#This Row],[STDEV]]*'HTC223 ultimate'!M36</f>
        <v>6.2510837580288095E-2</v>
      </c>
    </row>
    <row r="6" spans="1:14" x14ac:dyDescent="0.2">
      <c r="A6" s="3" t="s">
        <v>260</v>
      </c>
      <c r="B6" s="65">
        <f>3.55*('HTC223 ultimate'!D2^2)</f>
        <v>8645.7498749999995</v>
      </c>
      <c r="C6" s="65">
        <f>232*'HTC223 ultimate'!D2</f>
        <v>11449.2</v>
      </c>
      <c r="D6" s="65">
        <f>2230*'HTC223 ultimate'!H2</f>
        <v>16033.7</v>
      </c>
      <c r="E6" s="65">
        <f>(51.2*'HTC223 ultimate'!D2)*('HTC223 ultimate'!H2)</f>
        <v>18167.116800000003</v>
      </c>
      <c r="F6" s="65">
        <f>131*'HTC223 ultimate'!M2</f>
        <v>309.15999999999997</v>
      </c>
      <c r="G6" s="65" t="str">
        <f>Table4[[#Headers],[20600]]</f>
        <v>20600</v>
      </c>
      <c r="H6" s="65">
        <f t="shared" si="0"/>
        <v>20239.126675000003</v>
      </c>
      <c r="I6" s="66">
        <f>Table4[[#This Row],[HHV kJ/kg]]/1000</f>
        <v>20.239126675000001</v>
      </c>
      <c r="J6" s="66">
        <f>Table4[[#This Row],[HHV MJ/kg ar]]*'HTC223 ultimate'!M36</f>
        <v>21.712306683473692</v>
      </c>
      <c r="K6" s="67"/>
      <c r="L6" s="65"/>
      <c r="M6" s="68"/>
      <c r="N6" s="65"/>
    </row>
    <row r="7" spans="1:14" x14ac:dyDescent="0.2">
      <c r="A7" s="3" t="s">
        <v>59</v>
      </c>
      <c r="B7" s="3">
        <f>3.55*('HTC223 ultimate'!E21^2)</f>
        <v>16933.408498749999</v>
      </c>
      <c r="C7" s="3">
        <f>232*'HTC223 ultimate'!E21</f>
        <v>16023.08</v>
      </c>
      <c r="D7" s="3">
        <f>2230*'HTC223 ultimate'!I21</f>
        <v>15509.65</v>
      </c>
      <c r="E7" s="3">
        <f>(51.2*'HTC223 ultimate'!E21)*('HTC223 ultimate'!I21)</f>
        <v>24593.770240000002</v>
      </c>
      <c r="F7" s="3">
        <f>131*'HTC223 ultimate'!N21</f>
        <v>381.21000000000004</v>
      </c>
      <c r="G7" s="3" t="str">
        <f>Table4[[#Headers],[20600]]</f>
        <v>20600</v>
      </c>
      <c r="H7" s="3">
        <f t="shared" si="0"/>
        <v>30975.65873875</v>
      </c>
      <c r="I7" s="66">
        <f>Table4[[#This Row],[HHV kJ/kg]]/1000</f>
        <v>30.975658738749999</v>
      </c>
      <c r="J7" s="66">
        <f>'HTC223 ultimate'!M55*Table4[[#This Row],[HHV MJ/kg ar]]</f>
        <v>31.374427715007744</v>
      </c>
      <c r="K7" s="67">
        <f>AVERAGE(Table4[[#This Row],[HHV MJ/kg ar]],I10)</f>
        <v>30.912445926875002</v>
      </c>
      <c r="L7" s="3">
        <f>STDEV(Table4[[#This Row],[HHV MJ/kg ar]],I10)</f>
        <v>8.9396415869360493E-2</v>
      </c>
      <c r="M7" s="68">
        <f>Table4[[#This Row],[AVERAGE HHV (as received basis)]]*'HTC223 ultimate'!M55</f>
        <v>31.310401125175986</v>
      </c>
      <c r="N7" s="65">
        <f>Table4[[#This Row],[STDEV]]*'HTC223 ultimate'!M55</f>
        <v>9.0547271692573095E-2</v>
      </c>
    </row>
    <row r="8" spans="1:14" x14ac:dyDescent="0.2">
      <c r="A8" s="3" t="s">
        <v>57</v>
      </c>
      <c r="B8" s="3">
        <f>3.55*('HTC223 ultimate'!E22^2)</f>
        <v>15616.469968750001</v>
      </c>
      <c r="C8" s="3">
        <f>232*'HTC223 ultimate'!E22</f>
        <v>15387.400000000001</v>
      </c>
      <c r="D8" s="3">
        <f>2230*'HTC223 ultimate'!I22</f>
        <v>12287.3</v>
      </c>
      <c r="E8" s="3">
        <f>(51.2*'HTC223 ultimate'!E22)*('HTC223 ultimate'!I22)</f>
        <v>18711.078399999999</v>
      </c>
      <c r="F8" s="3">
        <f>131*'HTC223 ultimate'!N22</f>
        <v>502.38499999999999</v>
      </c>
      <c r="G8" s="3" t="str">
        <f>Table4[[#Headers],[20600]]</f>
        <v>20600</v>
      </c>
      <c r="H8" s="3">
        <f t="shared" si="0"/>
        <v>27755.233368749999</v>
      </c>
      <c r="I8" s="66">
        <f>Table4[[#This Row],[HHV kJ/kg]]/1000</f>
        <v>27.755233368749998</v>
      </c>
      <c r="J8" s="66">
        <f>'HTC223 ultimate'!M56*Table4[[#This Row],[HHV MJ/kg ar]]</f>
        <v>29.038745939265535</v>
      </c>
      <c r="K8" s="66">
        <f>AVERAGE(Table4[[#This Row],[HHV MJ/kg ar]],I11)</f>
        <v>27.671651444374998</v>
      </c>
      <c r="L8" s="3">
        <f>STDEV(Table4[[#This Row],[HHV MJ/kg ar]],I11)</f>
        <v>0.11820269102036769</v>
      </c>
      <c r="M8" s="68">
        <f>Table4[[#This Row],[AVERAGE HHV (as received basis)]]*'HTC223 ultimate'!M56</f>
        <v>28.951298853708931</v>
      </c>
      <c r="N8" s="65">
        <f>Table4[[#This Row],[STDEV]]*'HTC223 ultimate'!M56</f>
        <v>0.12366885438414699</v>
      </c>
    </row>
    <row r="9" spans="1:14" x14ac:dyDescent="0.2">
      <c r="A9" s="3" t="s">
        <v>58</v>
      </c>
      <c r="B9" s="3">
        <f>3.55*('HTC223 ultimate'!E23^2)</f>
        <v>19347.96371874999</v>
      </c>
      <c r="C9" s="3">
        <f>232*'HTC223 ultimate'!E23</f>
        <v>17127.399999999998</v>
      </c>
      <c r="D9" s="3">
        <f>2230*'HTC223 ultimate'!I23</f>
        <v>26291.699999999997</v>
      </c>
      <c r="E9" s="3">
        <f>(51.2*'HTC223 ultimate'!E23)*('HTC223 ultimate'!I23)</f>
        <v>44564.313599999994</v>
      </c>
      <c r="F9" s="3">
        <f>131*'HTC223 ultimate'!N23</f>
        <v>162.44</v>
      </c>
      <c r="G9" s="3" t="str">
        <f>Table4[[#Headers],[20600]]</f>
        <v>20600</v>
      </c>
      <c r="H9" s="3">
        <f t="shared" si="0"/>
        <v>41255.617318749988</v>
      </c>
      <c r="I9" s="66">
        <f>Table4[[#This Row],[HHV kJ/kg]]/1000</f>
        <v>41.255617318749991</v>
      </c>
      <c r="J9" s="66">
        <f>'HTC223 ultimate'!M57*Table4[[#This Row],[HHV MJ/kg ar]]</f>
        <v>41.255617318749991</v>
      </c>
      <c r="K9" s="66">
        <f>AVERAGE(Table4[[#This Row],[HHV MJ/kg ar]],I12)</f>
        <v>40.695948593749989</v>
      </c>
      <c r="L9" s="3">
        <f>STDEV(Table4[[#This Row],[HHV MJ/kg ar]],I12)</f>
        <v>0.79149110133105538</v>
      </c>
      <c r="M9" s="68">
        <f>Table4[[#This Row],[AVERAGE HHV (as received basis)]]*'HTC223 ultimate'!M57</f>
        <v>40.695948593749989</v>
      </c>
      <c r="N9" s="65">
        <f>Table4[[#This Row],[STDEV]]*'HTC223 ultimate'!M57</f>
        <v>0.79149110133105538</v>
      </c>
    </row>
    <row r="10" spans="1:14" x14ac:dyDescent="0.2">
      <c r="A10" s="3" t="s">
        <v>68</v>
      </c>
      <c r="B10" s="3">
        <f>3.55*('HTC223 ultimate'!E24^2)</f>
        <v>16672.081195000002</v>
      </c>
      <c r="C10" s="3">
        <f>232*'HTC223 ultimate'!E24</f>
        <v>15898.960000000001</v>
      </c>
      <c r="D10" s="3">
        <f>2230*'HTC223 ultimate'!I24</f>
        <v>15821.849999999999</v>
      </c>
      <c r="E10" s="3">
        <f>(51.2*'HTC223 ultimate'!E24)*('HTC223 ultimate'!I24)</f>
        <v>24894.481920000002</v>
      </c>
      <c r="F10" s="3">
        <f>131*'HTC223 ultimate'!N24</f>
        <v>403.48</v>
      </c>
      <c r="G10" s="3" t="str">
        <f>Table4[[#Headers],[20600]]</f>
        <v>20600</v>
      </c>
      <c r="H10" s="3">
        <f t="shared" si="0"/>
        <v>30849.233115000003</v>
      </c>
      <c r="I10" s="66">
        <f>Table4[[#This Row],[HHV kJ/kg]]/1000</f>
        <v>30.849233115000004</v>
      </c>
      <c r="J10" s="66">
        <f>'HTC223 ultimate'!M58*Table4[[#This Row],[HHV MJ/kg ar]]</f>
        <v>31.259355863934829</v>
      </c>
      <c r="K10" s="66"/>
      <c r="M10" s="65"/>
      <c r="N10" s="65"/>
    </row>
    <row r="11" spans="1:14" x14ac:dyDescent="0.2">
      <c r="A11" s="3" t="s">
        <v>60</v>
      </c>
      <c r="B11" s="3">
        <f>3.55*('HTC223 ultimate'!E25^2)</f>
        <v>15614.115519999998</v>
      </c>
      <c r="C11" s="3">
        <f>232*'HTC223 ultimate'!E25</f>
        <v>15386.239999999998</v>
      </c>
      <c r="D11" s="3">
        <f>2230*'HTC223 ultimate'!I25</f>
        <v>11986.25</v>
      </c>
      <c r="E11" s="3">
        <f>(51.2*'HTC223 ultimate'!E25)*('HTC223 ultimate'!I25)</f>
        <v>18251.263999999999</v>
      </c>
      <c r="F11" s="3">
        <f>131*'HTC223 ultimate'!N25</f>
        <v>495.17999999999995</v>
      </c>
      <c r="G11" s="3" t="str">
        <f>Table4[[#Headers],[20600]]</f>
        <v>20600</v>
      </c>
      <c r="H11" s="3">
        <f t="shared" si="0"/>
        <v>27588.069519999997</v>
      </c>
      <c r="I11" s="66">
        <f>Table4[[#This Row],[HHV kJ/kg]]/1000</f>
        <v>27.588069519999998</v>
      </c>
      <c r="J11" s="66">
        <f>'HTC223 ultimate'!M59*Table4[[#This Row],[HHV MJ/kg ar]]</f>
        <v>28.784046658667634</v>
      </c>
      <c r="K11" s="66"/>
      <c r="M11" s="65"/>
      <c r="N11" s="65"/>
    </row>
    <row r="12" spans="1:14" x14ac:dyDescent="0.2">
      <c r="A12" s="3" t="s">
        <v>61</v>
      </c>
      <c r="B12" s="3">
        <f>3.55*('HTC223 ultimate'!E26^2)</f>
        <v>18920.541588749995</v>
      </c>
      <c r="C12" s="3">
        <f>232*'HTC223 ultimate'!E26</f>
        <v>16937.16</v>
      </c>
      <c r="D12" s="3">
        <f>2230*'HTC223 ultimate'!I26</f>
        <v>25656.15</v>
      </c>
      <c r="E12" s="3">
        <f>(51.2*'HTC223 ultimate'!E26)*('HTC223 ultimate'!I26)</f>
        <v>43004.033280000003</v>
      </c>
      <c r="F12" s="3">
        <f>131*'HTC223 ultimate'!N26</f>
        <v>205.01499999999999</v>
      </c>
      <c r="G12" s="3" t="str">
        <f>Table4[[#Headers],[20600]]</f>
        <v>20600</v>
      </c>
      <c r="H12" s="3">
        <f t="shared" si="0"/>
        <v>40136.279868749996</v>
      </c>
      <c r="I12" s="66">
        <f>Table4[[#This Row],[HHV kJ/kg]]/1000</f>
        <v>40.136279868749995</v>
      </c>
      <c r="J12" s="66">
        <f>'HTC223 ultimate'!M60*Table4[[#This Row],[HHV MJ/kg ar]]</f>
        <v>40.136279868749995</v>
      </c>
      <c r="K12" s="66"/>
      <c r="M12" s="65"/>
      <c r="N12" s="65"/>
    </row>
    <row r="13" spans="1:14" x14ac:dyDescent="0.2">
      <c r="A13" s="3" t="s">
        <v>62</v>
      </c>
      <c r="B13" s="3">
        <f>3.55*('HTC223 ultimate'!E3^2)</f>
        <v>16664.783548749998</v>
      </c>
      <c r="C13" s="3">
        <f>232*'HTC223 ultimate'!E3</f>
        <v>15895.48</v>
      </c>
      <c r="D13" s="3">
        <f>2230*'HTC223 ultimate'!I3</f>
        <v>17505.5</v>
      </c>
      <c r="E13" s="3">
        <f>(51.2*'HTC223 ultimate'!E3)*('HTC223 ultimate'!I3)</f>
        <v>27537.5488</v>
      </c>
      <c r="F13" s="3">
        <f>131*'HTC223 ultimate'!N3</f>
        <v>333.39499999999998</v>
      </c>
      <c r="G13" s="3" t="str">
        <f>Table4[[#Headers],[20600]]</f>
        <v>20600</v>
      </c>
      <c r="H13" s="3">
        <f t="shared" si="0"/>
        <v>31734.747348749999</v>
      </c>
      <c r="I13" s="66">
        <f>Table4[[#This Row],[HHV kJ/kg]]/1000</f>
        <v>31.734747348749998</v>
      </c>
      <c r="J13" s="66">
        <f>'HTC223 ultimate'!M37*Table4[[#This Row],[HHV MJ/kg ar]]</f>
        <v>32.159901243184905</v>
      </c>
      <c r="K13" s="67">
        <f>AVERAGE(Table4[[#This Row],[HHV MJ/kg ar]],I16)</f>
        <v>31.357553213750002</v>
      </c>
      <c r="L13" s="3">
        <f>STDEV(Table4[[#This Row],[HHV MJ/kg ar]],I16)</f>
        <v>0.53343306136458546</v>
      </c>
      <c r="M13" s="68">
        <f>Table4[[#This Row],[AVERAGE HHV (as received basis)]]*'HTC223 ultimate'!M37</f>
        <v>31.777653796945625</v>
      </c>
      <c r="N13" s="65">
        <f>L13*'HTC223 ultimate'!M37</f>
        <v>0.54057952265407228</v>
      </c>
    </row>
    <row r="14" spans="1:14" x14ac:dyDescent="0.2">
      <c r="A14" s="3" t="s">
        <v>63</v>
      </c>
      <c r="B14" s="3">
        <f>3.55*('HTC223 ultimate'!E4^2)</f>
        <v>14357.350288749998</v>
      </c>
      <c r="C14" s="3">
        <f>232*'HTC223 ultimate'!E4</f>
        <v>14754.039999999999</v>
      </c>
      <c r="D14" s="3">
        <f>2230*'HTC223 ultimate'!I4</f>
        <v>12108.9</v>
      </c>
      <c r="E14" s="3">
        <f>(51.2*'HTC223 ultimate'!E4)*('HTC223 ultimate'!I4)</f>
        <v>17680.427520000001</v>
      </c>
      <c r="F14" s="3">
        <f>131*'HTC223 ultimate'!N4</f>
        <v>443.43499999999995</v>
      </c>
      <c r="G14" s="3" t="str">
        <f>Table4[[#Headers],[20600]]</f>
        <v>20600</v>
      </c>
      <c r="H14" s="3">
        <f t="shared" si="0"/>
        <v>26218.27280875</v>
      </c>
      <c r="I14" s="66">
        <f>Table4[[#This Row],[HHV kJ/kg]]/1000</f>
        <v>26.218272808750001</v>
      </c>
      <c r="J14" s="66">
        <f>'HTC223 ultimate'!M38*Table4[[#This Row],[HHV MJ/kg ar]]</f>
        <v>27.681225580689436</v>
      </c>
      <c r="K14" s="66">
        <f>AVERAGE(Table4[[#This Row],[HHV MJ/kg ar]],I17)</f>
        <v>26.510140348749999</v>
      </c>
      <c r="L14" s="3">
        <f>STDEV(Table4[[#This Row],[HHV MJ/kg ar]],I17)</f>
        <v>0.41276303348447202</v>
      </c>
      <c r="M14" s="68">
        <f>Table4[[#This Row],[AVERAGE HHV (as received basis)]]*'HTC223 ultimate'!M38</f>
        <v>27.989379030512588</v>
      </c>
      <c r="N14" s="65">
        <f>L14*'HTC223 ultimate'!M38</f>
        <v>0.43579478803196109</v>
      </c>
    </row>
    <row r="15" spans="1:14" x14ac:dyDescent="0.2">
      <c r="A15" s="3" t="s">
        <v>64</v>
      </c>
      <c r="B15" s="3">
        <f>3.55*('HTC223 ultimate'!E5^2)</f>
        <v>19777.510079999993</v>
      </c>
      <c r="C15" s="3">
        <f>232*'HTC223 ultimate'!E5</f>
        <v>17316.479999999996</v>
      </c>
      <c r="D15" s="3">
        <f>2230*'HTC223 ultimate'!I5</f>
        <v>27328.649999999998</v>
      </c>
      <c r="E15" s="3">
        <f>(51.2*'HTC223 ultimate'!E5)*('HTC223 ultimate'!I5)</f>
        <v>46833.315839999988</v>
      </c>
      <c r="F15" s="3">
        <f>131*'HTC223 ultimate'!N5</f>
        <v>98.905000000000001</v>
      </c>
      <c r="G15" s="3" t="str">
        <f>Table4[[#Headers],[20600]]</f>
        <v>20600</v>
      </c>
      <c r="H15" s="3">
        <f t="shared" si="0"/>
        <v>42664.600919999983</v>
      </c>
      <c r="I15" s="66">
        <f>Table4[[#This Row],[HHV kJ/kg]]/1000</f>
        <v>42.664600919999984</v>
      </c>
      <c r="J15" s="66">
        <f>'HTC223 ultimate'!M39*Table4[[#This Row],[HHV MJ/kg ar]]</f>
        <v>42.664600919999984</v>
      </c>
      <c r="K15" s="66">
        <f>AVERAGE(Table4[[#This Row],[HHV MJ/kg ar]],I18)</f>
        <v>42.72924455937499</v>
      </c>
      <c r="L15" s="3">
        <f>STDEV(Table4[[#This Row],[HHV MJ/kg ar]],I18)</f>
        <v>9.14199115252846E-2</v>
      </c>
      <c r="M15" s="68">
        <f>Table4[[#This Row],[AVERAGE HHV (as received basis)]]*'HTC223 ultimate'!M39</f>
        <v>42.72924455937499</v>
      </c>
      <c r="N15" s="65">
        <f>L15*'HTC223 ultimate'!M39</f>
        <v>9.14199115252846E-2</v>
      </c>
    </row>
    <row r="16" spans="1:14" x14ac:dyDescent="0.2">
      <c r="A16" s="3" t="s">
        <v>65</v>
      </c>
      <c r="B16" s="3">
        <f>3.55*('HTC223 ultimate'!E6^2)</f>
        <v>16485.280638750002</v>
      </c>
      <c r="C16" s="3">
        <f>232*'HTC223 ultimate'!E6</f>
        <v>15809.640000000003</v>
      </c>
      <c r="D16" s="3">
        <f>2230*'HTC223 ultimate'!I6</f>
        <v>16580.05</v>
      </c>
      <c r="E16" s="3">
        <f>(51.2*'HTC223 ultimate'!E6)*('HTC223 ultimate'!I6)</f>
        <v>25940.893440000003</v>
      </c>
      <c r="F16" s="3">
        <f>131*'HTC223 ultimate'!N6</f>
        <v>343.875</v>
      </c>
      <c r="G16" s="3" t="str">
        <f>Table4[[#Headers],[20600]]</f>
        <v>20600</v>
      </c>
      <c r="H16" s="3">
        <f t="shared" si="0"/>
        <v>30980.359078750003</v>
      </c>
      <c r="I16" s="66">
        <f>Table4[[#This Row],[HHV kJ/kg]]/1000</f>
        <v>30.980359078750002</v>
      </c>
      <c r="J16" s="66">
        <f>'HTC223 ultimate'!M40*Table4[[#This Row],[HHV MJ/kg ar]]</f>
        <v>31.286339478853183</v>
      </c>
      <c r="K16" s="66"/>
      <c r="M16" s="65"/>
      <c r="N16" s="65"/>
    </row>
    <row r="17" spans="1:14" x14ac:dyDescent="0.2">
      <c r="A17" s="3" t="s">
        <v>66</v>
      </c>
      <c r="B17" s="3">
        <f>3.55*('HTC223 ultimate'!E7^2)</f>
        <v>14434.21204875</v>
      </c>
      <c r="C17" s="3">
        <f>232*'HTC223 ultimate'!E7</f>
        <v>14793.48</v>
      </c>
      <c r="D17" s="3">
        <f>2230*'HTC223 ultimate'!I7</f>
        <v>13112.400000000001</v>
      </c>
      <c r="E17" s="3">
        <f>(51.2*'HTC223 ultimate'!E7)*('HTC223 ultimate'!I7)</f>
        <v>19196.835840000003</v>
      </c>
      <c r="F17" s="3">
        <f>131*'HTC223 ultimate'!N7</f>
        <v>476.84000000000003</v>
      </c>
      <c r="G17" s="3" t="str">
        <f>Table4[[#Headers],[20600]]</f>
        <v>20600</v>
      </c>
      <c r="H17" s="3">
        <f t="shared" si="0"/>
        <v>26802.007888750002</v>
      </c>
      <c r="I17" s="66">
        <f>Table4[[#This Row],[HHV kJ/kg]]/1000</f>
        <v>26.802007888750001</v>
      </c>
      <c r="J17" s="66">
        <f>'HTC223 ultimate'!M41*Table4[[#This Row],[HHV MJ/kg ar]]</f>
        <v>28.283199021506285</v>
      </c>
      <c r="K17" s="66"/>
      <c r="M17" s="65"/>
      <c r="N17" s="65"/>
    </row>
    <row r="18" spans="1:14" x14ac:dyDescent="0.2">
      <c r="A18" s="3" t="s">
        <v>67</v>
      </c>
      <c r="B18" s="3">
        <f>3.55*('HTC223 ultimate'!E8^2)</f>
        <v>19912.87663875</v>
      </c>
      <c r="C18" s="3">
        <f>232*'HTC223 ultimate'!E8</f>
        <v>17375.64</v>
      </c>
      <c r="D18" s="3">
        <f>2230*'HTC223 ultimate'!I8</f>
        <v>27183.700000000004</v>
      </c>
      <c r="E18" s="3">
        <f>(51.2*'HTC223 ultimate'!E8)*('HTC223 ultimate'!I8)</f>
        <v>46744.066559999999</v>
      </c>
      <c r="F18" s="3">
        <f>131*'HTC223 ultimate'!N8</f>
        <v>96.284999999999997</v>
      </c>
      <c r="G18" s="3" t="str">
        <f>Table4[[#Headers],[20600]]</f>
        <v>20600</v>
      </c>
      <c r="H18" s="3">
        <f t="shared" si="0"/>
        <v>42793.888198749992</v>
      </c>
      <c r="I18" s="66">
        <f>Table4[[#This Row],[HHV kJ/kg]]/1000</f>
        <v>42.79388819874999</v>
      </c>
      <c r="J18" s="66">
        <f>'HTC223 ultimate'!M42*Table4[[#This Row],[HHV MJ/kg ar]]</f>
        <v>42.79388819874999</v>
      </c>
      <c r="K18" s="66"/>
      <c r="M18" s="65"/>
      <c r="N18" s="65"/>
    </row>
    <row r="19" spans="1:14" x14ac:dyDescent="0.2">
      <c r="A19" s="3" t="s">
        <v>69</v>
      </c>
      <c r="B19" s="3">
        <f>3.55*('HTC223 ultimate'!E15^2)</f>
        <v>18049.630738750002</v>
      </c>
      <c r="C19" s="3">
        <f>232*'HTC223 ultimate'!E15</f>
        <v>16542.760000000002</v>
      </c>
      <c r="D19" s="3">
        <f>2230*'HTC223 ultimate'!I15</f>
        <v>19144.550000000003</v>
      </c>
      <c r="E19" s="3">
        <f>(51.2*'HTC223 ultimate'!E15)*('HTC223 ultimate'!I15)</f>
        <v>31342.25536000001</v>
      </c>
      <c r="F19" s="3">
        <f>131*'HTC223 ultimate'!N15</f>
        <v>33.405000000000001</v>
      </c>
      <c r="G19" s="3" t="str">
        <f>Table4[[#Headers],[20600]]</f>
        <v>20600</v>
      </c>
      <c r="H19" s="3">
        <f t="shared" si="0"/>
        <v>34337.98109875001</v>
      </c>
      <c r="I19" s="66">
        <f>Table4[[#This Row],[HHV kJ/kg]]/1000</f>
        <v>34.337981098750006</v>
      </c>
      <c r="J19" s="66">
        <f>Table4[[#This Row],[HHV MJ/kg ar]]*'HTC223 ultimate'!M49</f>
        <v>34.58004138846929</v>
      </c>
      <c r="K19" s="67">
        <f>AVERAGE(Table4[[#This Row],[HHV MJ/kg ar]],I22)</f>
        <v>33.064131986874997</v>
      </c>
      <c r="L19" s="3">
        <f>STDEV(Table4[[#This Row],[HHV MJ/kg ar]],I22)</f>
        <v>1.8014946904305549</v>
      </c>
      <c r="M19" s="68">
        <f>Table4[[#This Row],[AVERAGE HHV (as received basis)]]*'HTC223 ultimate'!M49</f>
        <v>33.29721247419436</v>
      </c>
      <c r="N19" s="65">
        <f>Table4[[#This Row],[STDEV]]*'HTC223 ultimate'!M49</f>
        <v>1.8141940487719586</v>
      </c>
    </row>
    <row r="20" spans="1:14" x14ac:dyDescent="0.2">
      <c r="A20" s="3" t="s">
        <v>70</v>
      </c>
      <c r="B20" s="3">
        <f>3.55*('HTC223 ultimate'!E16^2)</f>
        <v>10966.434219999999</v>
      </c>
      <c r="C20" s="3">
        <f>232*'HTC223 ultimate'!E16</f>
        <v>12894.56</v>
      </c>
      <c r="D20" s="3">
        <f>2230*'HTC223 ultimate'!I16</f>
        <v>14149.349999999999</v>
      </c>
      <c r="E20" s="3">
        <f>(51.2*'HTC223 ultimate'!E16)*('HTC223 ultimate'!I16)</f>
        <v>18055.94112</v>
      </c>
      <c r="F20" s="3">
        <f>131*'HTC223 ultimate'!N16</f>
        <v>39.954999999999998</v>
      </c>
      <c r="G20" s="3" t="str">
        <f>Table4[[#Headers],[20600]]</f>
        <v>20600</v>
      </c>
      <c r="H20" s="3">
        <f t="shared" si="0"/>
        <v>22618.420340000001</v>
      </c>
      <c r="I20" s="66">
        <f>Table4[[#This Row],[HHV kJ/kg]]/1000</f>
        <v>22.61842034</v>
      </c>
      <c r="J20" s="66">
        <f>Table4[[#This Row],[HHV MJ/kg ar]]*'HTC223 ultimate'!M50</f>
        <v>23.411363211990107</v>
      </c>
      <c r="K20" s="66">
        <f>AVERAGE(Table4[[#This Row],[HHV MJ/kg ar]],I23)</f>
        <v>22.299994524374998</v>
      </c>
      <c r="L20" s="3">
        <f>STDEV(Table4[[#This Row],[HHV MJ/kg ar]],I23)</f>
        <v>0.45032210706659204</v>
      </c>
      <c r="M20" s="68">
        <f>Table4[[#This Row],[AVERAGE HHV (as received basis)]]*'HTC223 ultimate'!M50</f>
        <v>23.081774217108464</v>
      </c>
      <c r="N20" s="65">
        <f>Table4[[#This Row],[STDEV]]*'HTC223 ultimate'!M50</f>
        <v>0.46610922657053611</v>
      </c>
    </row>
    <row r="21" spans="1:14" x14ac:dyDescent="0.2">
      <c r="A21" s="3" t="s">
        <v>71</v>
      </c>
      <c r="B21" s="3">
        <f>3.55*('HTC223 ultimate'!E17^2)</f>
        <v>18742.138379999997</v>
      </c>
      <c r="C21" s="3">
        <f>232*'HTC223 ultimate'!E17</f>
        <v>16857.12</v>
      </c>
      <c r="D21" s="3">
        <f>2230*'HTC223 ultimate'!I17</f>
        <v>22088.15</v>
      </c>
      <c r="E21" s="3">
        <f>(51.2*'HTC223 ultimate'!E17)*('HTC223 ultimate'!I17)</f>
        <v>36848.501760000006</v>
      </c>
      <c r="F21" s="3">
        <f>131*'HTC223 ultimate'!N17</f>
        <v>17.685000000000002</v>
      </c>
      <c r="G21" s="3" t="str">
        <f>Table4[[#Headers],[20600]]</f>
        <v>20600</v>
      </c>
      <c r="H21" s="3">
        <f t="shared" si="0"/>
        <v>37263.055140000004</v>
      </c>
      <c r="I21" s="66">
        <f>Table4[[#This Row],[HHV kJ/kg]]/1000</f>
        <v>37.263055140000006</v>
      </c>
      <c r="J21" s="66">
        <f>Table4[[#This Row],[HHV MJ/kg ar]]*'HTC223 ultimate'!M51</f>
        <v>37.263055140000006</v>
      </c>
      <c r="K21" s="66">
        <f>AVERAGE(Table4[[#This Row],[HHV MJ/kg ar]],I24)</f>
        <v>38.689571354375005</v>
      </c>
      <c r="L21" s="3">
        <f>STDEV(Table4[[#This Row],[HHV MJ/kg ar]],I24)</f>
        <v>2.0173985773142542</v>
      </c>
      <c r="M21" s="68">
        <f>Table4[[#This Row],[AVERAGE HHV (as received basis)]]*'HTC223 ultimate'!M51</f>
        <v>38.689571354375005</v>
      </c>
      <c r="N21" s="65">
        <f>Table4[[#This Row],[STDEV]]*'HTC223 ultimate'!M51</f>
        <v>2.0173985773142542</v>
      </c>
    </row>
    <row r="22" spans="1:14" x14ac:dyDescent="0.2">
      <c r="A22" s="3" t="s">
        <v>72</v>
      </c>
      <c r="B22" s="3">
        <f>3.55*('HTC223 ultimate'!E18^2)</f>
        <v>16847.703954999997</v>
      </c>
      <c r="C22" s="3">
        <f>232*'HTC223 ultimate'!E18</f>
        <v>15982.48</v>
      </c>
      <c r="D22" s="3">
        <f>2230*'HTC223 ultimate'!I18</f>
        <v>17706.199999999997</v>
      </c>
      <c r="E22" s="3">
        <f>(51.2*'HTC223 ultimate'!E18)*('HTC223 ultimate'!I18)</f>
        <v>28005.713919999998</v>
      </c>
      <c r="F22" s="3">
        <f>131*'HTC223 ultimate'!N18</f>
        <v>25.545000000000002</v>
      </c>
      <c r="G22" s="3" t="str">
        <f>Table4[[#Headers],[20600]]</f>
        <v>20600</v>
      </c>
      <c r="H22" s="3">
        <f t="shared" si="0"/>
        <v>31790.282874999997</v>
      </c>
      <c r="I22" s="66">
        <f>Table4[[#This Row],[HHV kJ/kg]]/1000</f>
        <v>31.790282874999995</v>
      </c>
      <c r="J22" s="66">
        <f>Table4[[#This Row],[HHV MJ/kg ar]]*'HTC223 ultimate'!M52</f>
        <v>31.866124250716698</v>
      </c>
      <c r="K22" s="66"/>
      <c r="M22" s="65"/>
      <c r="N22" s="65"/>
    </row>
    <row r="23" spans="1:14" x14ac:dyDescent="0.2">
      <c r="A23" s="3" t="s">
        <v>73</v>
      </c>
      <c r="B23" s="3">
        <f>3.55*('HTC223 ultimate'!E19^2)</f>
        <v>10461.357348749998</v>
      </c>
      <c r="C23" s="3">
        <f>232*'HTC223 ultimate'!E19</f>
        <v>12594.119999999999</v>
      </c>
      <c r="D23" s="3">
        <f>2230*'HTC223 ultimate'!I19</f>
        <v>14115.9</v>
      </c>
      <c r="E23" s="3">
        <f>(51.2*'HTC223 ultimate'!E19)*('HTC223 ultimate'!I19)</f>
        <v>17593.551359999998</v>
      </c>
      <c r="F23" s="3">
        <f>131*'HTC223 ultimate'!N19</f>
        <v>36.680000000000007</v>
      </c>
      <c r="G23" s="3" t="str">
        <f>Table4[[#Headers],[20600]]</f>
        <v>20600</v>
      </c>
      <c r="H23" s="3">
        <f t="shared" si="0"/>
        <v>21981.568708749997</v>
      </c>
      <c r="I23" s="66">
        <f>Table4[[#This Row],[HHV kJ/kg]]/1000</f>
        <v>21.981568708749997</v>
      </c>
      <c r="J23" s="66">
        <f>Table4[[#This Row],[HHV MJ/kg ar]]*'HTC223 ultimate'!M53</f>
        <v>22.789691157183736</v>
      </c>
      <c r="K23" s="66"/>
      <c r="M23" s="65"/>
      <c r="N23" s="65"/>
    </row>
    <row r="24" spans="1:14" x14ac:dyDescent="0.2">
      <c r="A24" s="3" t="s">
        <v>74</v>
      </c>
      <c r="B24" s="3">
        <f>3.55*('HTC223 ultimate'!E20^2)</f>
        <v>19269.419968750004</v>
      </c>
      <c r="C24" s="3">
        <f>232*'HTC223 ultimate'!E20</f>
        <v>17092.600000000002</v>
      </c>
      <c r="D24" s="3">
        <f>2230*'HTC223 ultimate'!I20</f>
        <v>25054.05</v>
      </c>
      <c r="E24" s="3">
        <f>(51.2*'HTC223 ultimate'!E20)*('HTC223 ultimate'!I20)</f>
        <v>42380.217600000004</v>
      </c>
      <c r="F24" s="3">
        <f>131*'HTC223 ultimate'!N20</f>
        <v>13.100000000000001</v>
      </c>
      <c r="G24" s="3" t="str">
        <f>Table4[[#Headers],[20600]]</f>
        <v>20600</v>
      </c>
      <c r="H24" s="3">
        <f t="shared" si="0"/>
        <v>40116.087568750008</v>
      </c>
      <c r="I24" s="66">
        <f>Table4[[#This Row],[HHV kJ/kg]]/1000</f>
        <v>40.116087568750011</v>
      </c>
      <c r="J24" s="66">
        <f>Table4[[#This Row],[HHV MJ/kg ar]]*'HTC223 ultimate'!M54</f>
        <v>40.116087568750011</v>
      </c>
      <c r="K24" s="66"/>
      <c r="M24" s="65"/>
      <c r="N24" s="65"/>
    </row>
    <row r="25" spans="1:14" x14ac:dyDescent="0.2">
      <c r="A25" s="3" t="s">
        <v>75</v>
      </c>
      <c r="B25" s="3">
        <f>3.55*('HTC223 ultimate'!E9^2)</f>
        <v>13203.054298749999</v>
      </c>
      <c r="C25" s="3">
        <f>232*'HTC223 ultimate'!E9</f>
        <v>14148.52</v>
      </c>
      <c r="D25" s="3">
        <f>2230*'HTC223 ultimate'!I9</f>
        <v>17728.5</v>
      </c>
      <c r="E25" s="3">
        <f>(51.2*'HTC223 ultimate'!E9)*('HTC223 ultimate'!I9)</f>
        <v>24823.3344</v>
      </c>
      <c r="F25" s="3">
        <f>131*'HTC223 ultimate'!N9</f>
        <v>239.73000000000002</v>
      </c>
      <c r="G25" s="3" t="str">
        <f>Table4[[#Headers],[20600]]</f>
        <v>20600</v>
      </c>
      <c r="H25" s="3">
        <f t="shared" si="0"/>
        <v>26989.098698749996</v>
      </c>
      <c r="I25" s="66">
        <f>Table4[[#This Row],[HHV kJ/kg]]/1000</f>
        <v>26.989098698749995</v>
      </c>
      <c r="J25" s="66">
        <f>Table4[[#This Row],[HHV MJ/kg ar]]*'HTC223 ultimate'!M43</f>
        <v>27.514628095371592</v>
      </c>
      <c r="K25" s="67">
        <f>AVERAGE(Table4[[#This Row],[HHV MJ/kg ar]],I28)</f>
        <v>26.860162353749999</v>
      </c>
      <c r="L25" s="3">
        <f>STDEV(Table4[[#This Row],[HHV MJ/kg ar]],I28)</f>
        <v>0.18234352778180832</v>
      </c>
      <c r="M25" s="68">
        <f>Table4[[#This Row],[AVERAGE HHV (as received basis)]]*'HTC223 ultimate'!M43</f>
        <v>27.383181113008462</v>
      </c>
      <c r="N25" s="65">
        <f>Table4[[#This Row],[STDEV]]*'HTC223 ultimate'!M43</f>
        <v>0.18589410519095556</v>
      </c>
    </row>
    <row r="26" spans="1:14" x14ac:dyDescent="0.2">
      <c r="A26" s="3" t="s">
        <v>76</v>
      </c>
      <c r="B26" s="3">
        <f>3.55*('HTC223 ultimate'!E10^2)</f>
        <v>11866.138498749999</v>
      </c>
      <c r="C26" s="3">
        <f>232*'HTC223 ultimate'!E10</f>
        <v>13413.08</v>
      </c>
      <c r="D26" s="3">
        <f>2230*'HTC223 ultimate'!I10</f>
        <v>16078.3</v>
      </c>
      <c r="E26" s="3">
        <f>(51.2*'HTC223 ultimate'!E10)*('HTC223 ultimate'!I10)</f>
        <v>21342.52288</v>
      </c>
      <c r="F26" s="3">
        <f>131*'HTC223 ultimate'!N10</f>
        <v>276.41000000000003</v>
      </c>
      <c r="G26" s="3" t="str">
        <f>Table4[[#Headers],[20600]]</f>
        <v>20600</v>
      </c>
      <c r="H26" s="3">
        <f t="shared" si="0"/>
        <v>24593.691378750002</v>
      </c>
      <c r="I26" s="66">
        <f>Table4[[#This Row],[HHV kJ/kg]]/1000</f>
        <v>24.593691378750002</v>
      </c>
      <c r="J26" s="66">
        <f>Table4[[#This Row],[HHV MJ/kg ar]]*'HTC223 ultimate'!M44</f>
        <v>24.593691378750002</v>
      </c>
      <c r="K26" s="66">
        <f>AVERAGE(Table4[[#This Row],[HHV MJ/kg ar]],I29)</f>
        <v>25.54712688875</v>
      </c>
      <c r="L26" s="3">
        <f>STDEV(Table4[[#This Row],[HHV MJ/kg ar]],I29)</f>
        <v>1.3483614290901065</v>
      </c>
      <c r="M26" s="68">
        <f>Table4[[#This Row],[AVERAGE HHV (as received basis)]]*'HTC223 ultimate'!M44</f>
        <v>25.54712688875</v>
      </c>
      <c r="N26" s="65">
        <f>Table4[[#This Row],[STDEV]]*'HTC223 ultimate'!M44</f>
        <v>1.3483614290901065</v>
      </c>
    </row>
    <row r="27" spans="1:14" x14ac:dyDescent="0.2">
      <c r="A27" s="3" t="s">
        <v>77</v>
      </c>
      <c r="B27" s="3">
        <f>3.55*('HTC223 ultimate'!E11^2)</f>
        <v>17991.457155</v>
      </c>
      <c r="C27" s="3">
        <f>232*'HTC223 ultimate'!E11</f>
        <v>16516.079999999998</v>
      </c>
      <c r="D27" s="3">
        <f>2230*'HTC223 ultimate'!I11</f>
        <v>26871.5</v>
      </c>
      <c r="E27" s="3">
        <f>(51.2*'HTC223 ultimate'!E11)*('HTC223 ultimate'!I11)</f>
        <v>43921.382400000002</v>
      </c>
      <c r="F27" s="3">
        <f>131*'HTC223 ultimate'!N11</f>
        <v>98.905000000000001</v>
      </c>
      <c r="G27" s="3" t="str">
        <f>Table4[[#Headers],[20600]]</f>
        <v>20600</v>
      </c>
      <c r="H27" s="3">
        <f t="shared" si="0"/>
        <v>39224.164555000003</v>
      </c>
      <c r="I27" s="66">
        <f>Table4[[#This Row],[HHV kJ/kg]]/1000</f>
        <v>39.224164555000002</v>
      </c>
      <c r="J27" s="66">
        <f>Table4[[#This Row],[HHV MJ/kg ar]]*'HTC223 ultimate'!M45</f>
        <v>39.224164555000002</v>
      </c>
      <c r="K27" s="66">
        <f>AVERAGE(Table4[[#This Row],[HHV MJ/kg ar]],I30)</f>
        <v>37.781397646875007</v>
      </c>
      <c r="L27" s="3">
        <f>STDEV(Table4[[#This Row],[HHV MJ/kg ar]],I30)</f>
        <v>2.0403805288134693</v>
      </c>
      <c r="M27" s="68">
        <f>Table4[[#This Row],[AVERAGE HHV (as received basis)]]*'HTC223 ultimate'!M45</f>
        <v>37.781397646875007</v>
      </c>
      <c r="N27" s="65">
        <f>Table4[[#This Row],[STDEV]]*'HTC223 ultimate'!M45</f>
        <v>2.0403805288134693</v>
      </c>
    </row>
    <row r="28" spans="1:14" x14ac:dyDescent="0.2">
      <c r="A28" s="3" t="s">
        <v>78</v>
      </c>
      <c r="B28" s="3">
        <f>3.55*('HTC223 ultimate'!E12^2)</f>
        <v>13051.941448750002</v>
      </c>
      <c r="C28" s="3">
        <f>232*'HTC223 ultimate'!E12</f>
        <v>14067.320000000002</v>
      </c>
      <c r="D28" s="3">
        <f>2230*'HTC223 ultimate'!I12</f>
        <v>17572.400000000001</v>
      </c>
      <c r="E28" s="3">
        <f>(51.2*'HTC223 ultimate'!E12)*('HTC223 ultimate'!I12)</f>
        <v>24463.554560000008</v>
      </c>
      <c r="F28" s="3">
        <f>131*'HTC223 ultimate'!N12</f>
        <v>255.45</v>
      </c>
      <c r="G28" s="3" t="str">
        <f>Table4[[#Headers],[20600]]</f>
        <v>20600</v>
      </c>
      <c r="H28" s="3">
        <f t="shared" si="0"/>
        <v>26731.226008750007</v>
      </c>
      <c r="I28" s="66">
        <f>Table4[[#This Row],[HHV kJ/kg]]/1000</f>
        <v>26.731226008750006</v>
      </c>
      <c r="J28" s="66">
        <f>Table4[[#This Row],[HHV MJ/kg ar]]*'HTC223 ultimate'!M46</f>
        <v>27.348201433080295</v>
      </c>
      <c r="K28" s="66"/>
      <c r="M28" s="65"/>
      <c r="N28" s="65"/>
    </row>
    <row r="29" spans="1:14" x14ac:dyDescent="0.2">
      <c r="A29" s="3" t="s">
        <v>79</v>
      </c>
      <c r="B29" s="3">
        <f>3.55*('HTC223 ultimate'!E13^2)</f>
        <v>13116.597598749999</v>
      </c>
      <c r="C29" s="3">
        <f>232*'HTC223 ultimate'!E13</f>
        <v>14102.119999999999</v>
      </c>
      <c r="D29" s="3">
        <f>2230*'HTC223 ultimate'!I13</f>
        <v>16780.75</v>
      </c>
      <c r="E29" s="3">
        <f>(51.2*'HTC223 ultimate'!E13)*('HTC223 ultimate'!I13)</f>
        <v>23419.2448</v>
      </c>
      <c r="F29" s="3">
        <f>131*'HTC223 ultimate'!N13</f>
        <v>247.58999999999997</v>
      </c>
      <c r="G29" s="3" t="str">
        <f>Table4[[#Headers],[20600]]</f>
        <v>20600</v>
      </c>
      <c r="H29" s="3">
        <f t="shared" si="0"/>
        <v>26500.56239875</v>
      </c>
      <c r="I29" s="66">
        <f>Table4[[#This Row],[HHV kJ/kg]]/1000</f>
        <v>26.500562398749999</v>
      </c>
      <c r="J29" s="66">
        <f>Table4[[#This Row],[HHV MJ/kg ar]]*'HTC223 ultimate'!M47</f>
        <v>26.500562398749999</v>
      </c>
      <c r="K29" s="66"/>
      <c r="M29" s="65"/>
      <c r="N29" s="65"/>
    </row>
    <row r="30" spans="1:14" x14ac:dyDescent="0.2">
      <c r="A30" s="3" t="s">
        <v>80</v>
      </c>
      <c r="B30" s="3">
        <f>3.55*('HTC223 ultimate'!E14^2)</f>
        <v>17144.920338750002</v>
      </c>
      <c r="C30" s="3">
        <f>232*'HTC223 ultimate'!E14</f>
        <v>16122.84</v>
      </c>
      <c r="D30" s="3">
        <f>2230*'HTC223 ultimate'!I14</f>
        <v>24474.250000000004</v>
      </c>
      <c r="E30" s="3">
        <f>(51.2*'HTC223 ultimate'!E14)*('HTC223 ultimate'!I14)</f>
        <v>39050.630400000009</v>
      </c>
      <c r="F30" s="3">
        <f>131*'HTC223 ultimate'!N14</f>
        <v>140.17000000000002</v>
      </c>
      <c r="G30" s="3" t="str">
        <f>Table4[[#Headers],[20600]]</f>
        <v>20600</v>
      </c>
      <c r="H30" s="3">
        <f t="shared" si="0"/>
        <v>36338.630738750006</v>
      </c>
      <c r="I30" s="66">
        <f>Table4[[#This Row],[HHV kJ/kg]]/1000</f>
        <v>36.338630738750005</v>
      </c>
      <c r="J30" s="66">
        <f>Table4[[#This Row],[HHV MJ/kg ar]]*'HTC223 ultimate'!M48</f>
        <v>36.338630738750005</v>
      </c>
      <c r="K30" s="66"/>
      <c r="M30" s="65"/>
      <c r="N30" s="65"/>
    </row>
    <row r="31" spans="1:14" x14ac:dyDescent="0.2">
      <c r="A31" s="3" t="s">
        <v>217</v>
      </c>
      <c r="B31" s="65">
        <f>3.55*('HTC223 ultimate'!C27^2)</f>
        <v>15388.91488</v>
      </c>
      <c r="C31" s="65">
        <f>232*'HTC223 ultimate'!C27</f>
        <v>15274.880000000001</v>
      </c>
      <c r="D31" s="65">
        <f>2230*'HTC223 ultimate'!G27</f>
        <v>12510.300000000001</v>
      </c>
      <c r="E31" s="65">
        <f>(51.2*'HTC223 ultimate'!C27)*('HTC223 ultimate'!G27)</f>
        <v>18911.354880000003</v>
      </c>
      <c r="F31" s="65">
        <f>131*'HTC223 ultimate'!L27</f>
        <v>521.38</v>
      </c>
      <c r="G31" s="65" t="str">
        <f>Table4[[#Headers],[20600]]</f>
        <v>20600</v>
      </c>
      <c r="H31" s="65">
        <f t="shared" si="0"/>
        <v>27636.46976</v>
      </c>
      <c r="I31" s="66">
        <f>Table4[[#This Row],[HHV kJ/kg]]/1000</f>
        <v>27.636469760000001</v>
      </c>
      <c r="J31" s="66">
        <v>28.558807225624442</v>
      </c>
      <c r="K31" s="66">
        <f>AVERAGE(I31:I33)</f>
        <v>27.733142228148154</v>
      </c>
      <c r="L31" s="65">
        <f>STDEV(I31:I33)</f>
        <v>8.4826285855633621E-2</v>
      </c>
      <c r="M31" s="66">
        <f>AVERAGE(J31:J33)</f>
        <v>28.658706033462199</v>
      </c>
      <c r="N31" s="65">
        <f>STDEV(J31:J33)</f>
        <v>8.7657271947340978E-2</v>
      </c>
    </row>
    <row r="32" spans="1:14" x14ac:dyDescent="0.2">
      <c r="A32" s="3" t="s">
        <v>218</v>
      </c>
      <c r="B32" s="65">
        <f>3.55*('HTC223 ultimate'!C28^2)</f>
        <v>15482.549680000004</v>
      </c>
      <c r="C32" s="65">
        <f>232*'HTC223 ultimate'!C28</f>
        <v>15321.28</v>
      </c>
      <c r="D32" s="65">
        <f>2230*'HTC223 ultimate'!G28</f>
        <v>12577.199999999999</v>
      </c>
      <c r="E32" s="65">
        <f>(51.2*'HTC223 ultimate'!C28)*('HTC223 ultimate'!G28)</f>
        <v>19070.238720000001</v>
      </c>
      <c r="F32" s="65">
        <f>131*'HTC223 ultimate'!L28</f>
        <v>513.52</v>
      </c>
      <c r="G32" s="65" t="str">
        <f>Table4[[#Headers],[20600]]</f>
        <v>20600</v>
      </c>
      <c r="H32" s="65">
        <f t="shared" si="0"/>
        <v>27767.828400000006</v>
      </c>
      <c r="I32" s="66">
        <f>Table4[[#This Row],[HHV kJ/kg]]/1000</f>
        <v>27.767828400000006</v>
      </c>
      <c r="J32" s="66">
        <v>28.694549819007701</v>
      </c>
      <c r="K32" s="66"/>
      <c r="L32" s="65"/>
      <c r="M32" s="65"/>
      <c r="N32" s="65"/>
    </row>
    <row r="33" spans="1:17" x14ac:dyDescent="0.2">
      <c r="A33" s="3" t="s">
        <v>219</v>
      </c>
      <c r="B33" s="65">
        <f>3.55*('HTC223 ultimate'!E30^2)</f>
        <v>15507.566924444443</v>
      </c>
      <c r="C33" s="65">
        <f>232*'HTC223 ultimate'!C29</f>
        <v>15404.800000000001</v>
      </c>
      <c r="D33" s="65">
        <f>2230*'HTC223 ultimate'!G29</f>
        <v>12532.6</v>
      </c>
      <c r="E33" s="65">
        <f>(51.2*'HTC223 ultimate'!C29)*('HTC223 ultimate'!G29)</f>
        <v>19106.2016</v>
      </c>
      <c r="F33" s="65">
        <f>131*'HTC223 ultimate'!L29</f>
        <v>518.76</v>
      </c>
      <c r="G33" s="65" t="str">
        <f>Table4[[#Headers],[20600]]</f>
        <v>20600</v>
      </c>
      <c r="H33" s="65">
        <f t="shared" si="0"/>
        <v>27795.128524444444</v>
      </c>
      <c r="I33" s="66">
        <f>Table4[[#This Row],[HHV kJ/kg]]/1000</f>
        <v>27.795128524444443</v>
      </c>
      <c r="J33" s="66">
        <v>28.722761055754468</v>
      </c>
      <c r="K33" s="66"/>
      <c r="L33" s="65"/>
      <c r="M33" s="65"/>
      <c r="N33" s="65"/>
    </row>
    <row r="34" spans="1:17" x14ac:dyDescent="0.2">
      <c r="A34" s="3" t="s">
        <v>271</v>
      </c>
      <c r="B34" s="65">
        <f>3.55*('HTC223 ultimate'!E31^2)</f>
        <v>12038.367758340706</v>
      </c>
      <c r="C34" s="65">
        <f>232*'HTC223 ultimate'!E31</f>
        <v>13510.070382995844</v>
      </c>
      <c r="D34" s="65">
        <f>2230*'HTC223 ultimate'!I31</f>
        <v>17415.756992829312</v>
      </c>
      <c r="E34" s="65">
        <f>(51.2*'HTC223 ultimate'!E31)*('HTC223 ultimate'!I31)</f>
        <v>23285.044960200506</v>
      </c>
      <c r="F34" s="65">
        <f>131*'HTC223 ultimate'!N31</f>
        <v>328.17920645376148</v>
      </c>
      <c r="G34" s="65" t="str">
        <f>Table4[[#Headers],[20600]]</f>
        <v>20600</v>
      </c>
      <c r="H34" s="65">
        <f t="shared" si="0"/>
        <v>25325.76454916982</v>
      </c>
      <c r="I34" s="66"/>
      <c r="J34" s="66">
        <f>Table4[[#This Row],[HHV kJ/kg]]/1000</f>
        <v>25.325764549169822</v>
      </c>
      <c r="K34" s="66" t="e">
        <f>AVERAGE(Table4[[#This Row],[HHV MJ/kg ar]],L38)</f>
        <v>#DIV/0!</v>
      </c>
      <c r="L34" s="65" t="e">
        <f>STDEV(Table4[[#This Row],[HHV MJ/kg ar]],L38)</f>
        <v>#DIV/0!</v>
      </c>
      <c r="M34" s="65"/>
      <c r="N34" s="65"/>
    </row>
    <row r="35" spans="1:17" x14ac:dyDescent="0.2">
      <c r="A35" s="3" t="s">
        <v>272</v>
      </c>
      <c r="B35" s="65">
        <f>3.55*('HTC223 ultimate'!E32^2)</f>
        <v>11411.278414862081</v>
      </c>
      <c r="C35" s="65">
        <f>232*'HTC223 ultimate'!E32</f>
        <v>13153.488793360208</v>
      </c>
      <c r="D35" s="65">
        <f>2230*'HTC223 ultimate'!I32</f>
        <v>17778.363941237072</v>
      </c>
      <c r="E35" s="65">
        <f>(51.2*'HTC223 ultimate'!E32)*('HTC223 ultimate'!I32)</f>
        <v>23142.478267174622</v>
      </c>
      <c r="F35" s="65">
        <f>131*'HTC223 ultimate'!N32</f>
        <v>201.28284992036023</v>
      </c>
      <c r="G35" s="65" t="str">
        <f>Table4[[#Headers],[20600]]</f>
        <v>20600</v>
      </c>
      <c r="H35" s="65">
        <f t="shared" si="0"/>
        <v>24423.186797359784</v>
      </c>
      <c r="I35" s="66"/>
      <c r="J35" s="66">
        <f>Table4[[#This Row],[HHV kJ/kg]]/1000</f>
        <v>24.423186797359783</v>
      </c>
      <c r="K35" s="66" t="e">
        <f>AVERAGE(Table4[[#This Row],[HHV MJ/kg ar]],L39)</f>
        <v>#DIV/0!</v>
      </c>
      <c r="L35" s="65" t="e">
        <f>STDEV(Table4[[#This Row],[HHV MJ/kg ar]],L39)</f>
        <v>#DIV/0!</v>
      </c>
      <c r="M35" s="65"/>
      <c r="N35" s="65"/>
    </row>
    <row r="36" spans="1:17" x14ac:dyDescent="0.2">
      <c r="A36" s="3" t="s">
        <v>273</v>
      </c>
      <c r="B36" s="65">
        <f>3.55*('HTC223 ultimate'!E33^2)</f>
        <v>8137.6302289584974</v>
      </c>
      <c r="C36" s="65">
        <f>232*'HTC223 ultimate'!E33</f>
        <v>11107.665281788197</v>
      </c>
      <c r="D36" s="65">
        <f>2230*'HTC223 ultimate'!I33</f>
        <v>17206.415482441505</v>
      </c>
      <c r="E36" s="65">
        <f>(51.2*'HTC223 ultimate'!E33)*('HTC223 ultimate'!I33)</f>
        <v>18914.301296139882</v>
      </c>
      <c r="F36" s="65">
        <f>131*'HTC223 ultimate'!N33</f>
        <v>24.244314285462966</v>
      </c>
      <c r="G36" s="65" t="str">
        <f>Table4[[#Headers],[20600]]</f>
        <v>20600</v>
      </c>
      <c r="H36" s="65">
        <f t="shared" si="0"/>
        <v>19362.095075154142</v>
      </c>
      <c r="I36" s="66"/>
      <c r="J36" s="66">
        <f>Table4[[#This Row],[HHV kJ/kg]]/1000</f>
        <v>19.362095075154141</v>
      </c>
      <c r="K36" s="66" t="e">
        <f>AVERAGE(Table4[[#This Row],[HHV MJ/kg ar]],L40)</f>
        <v>#DIV/0!</v>
      </c>
      <c r="L36" s="65" t="e">
        <f>STDEV(Table4[[#This Row],[HHV MJ/kg ar]],L40)</f>
        <v>#DIV/0!</v>
      </c>
      <c r="M36" s="65"/>
      <c r="N36" s="65"/>
    </row>
    <row r="38" spans="1:17" x14ac:dyDescent="0.2">
      <c r="A38" s="3" t="s">
        <v>274</v>
      </c>
      <c r="B38" s="3">
        <f>3.55*'SWE_178 ultimate'!I123^2</f>
        <v>12212.063924293612</v>
      </c>
      <c r="C38" s="3">
        <f>232*'SWE_178 ultimate'!I123</f>
        <v>13607.186674707313</v>
      </c>
      <c r="D38" s="3">
        <f>2230*'SWE_178 ultimate'!J123</f>
        <v>16740.418806795729</v>
      </c>
      <c r="E38" s="3">
        <f>51.2*'SWE_178 ultimate'!I123*'SWE_178 ultimate'!J123</f>
        <v>22543.00330582718</v>
      </c>
      <c r="F38" s="3">
        <f>131*'SWE_178 ultimate'!K124</f>
        <v>344.6006363201563</v>
      </c>
    </row>
    <row r="39" spans="1:17" x14ac:dyDescent="0.2">
      <c r="A39" s="3" t="s">
        <v>275</v>
      </c>
      <c r="B39" s="3">
        <f>3.55*'SWE_178 ultimate'!I124^2</f>
        <v>12264.076205145664</v>
      </c>
      <c r="C39" s="3">
        <f>232*'SWE_178 ultimate'!I124</f>
        <v>13636.133003389548</v>
      </c>
      <c r="D39" s="3">
        <f>2230*'SWE_178 ultimate'!J124</f>
        <v>16902.722036224499</v>
      </c>
      <c r="E39" s="3">
        <f>51.2*'SWE_178 ultimate'!I124*'SWE_178 ultimate'!J124</f>
        <v>22809.984554720835</v>
      </c>
      <c r="F39" s="3">
        <f>131*'SWE_178 ultimate'!K125</f>
        <v>322.80771070307139</v>
      </c>
    </row>
    <row r="40" spans="1:17" x14ac:dyDescent="0.2">
      <c r="A40" s="3" t="s">
        <v>276</v>
      </c>
      <c r="B40" s="3">
        <f>3.55*'SWE_178 ultimate'!I125^2</f>
        <v>12082.516778874084</v>
      </c>
      <c r="C40" s="3">
        <f>232*'SWE_178 ultimate'!I125</f>
        <v>13534.820853001725</v>
      </c>
      <c r="D40" s="3">
        <f>2230*'SWE_178 ultimate'!J125</f>
        <v>17041.839090020585</v>
      </c>
      <c r="E40" s="3">
        <f>51.2*'SWE_178 ultimate'!I125*'SWE_178 ultimate'!J125</f>
        <v>22826.855267826006</v>
      </c>
      <c r="F40" s="3">
        <f>131*'SWE_178 ultimate'!K126</f>
        <v>322.80771070307139</v>
      </c>
    </row>
    <row r="43" spans="1:17" s="69" customFormat="1" x14ac:dyDescent="0.2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</row>
    <row r="46" spans="1:17" x14ac:dyDescent="0.2">
      <c r="Q46" s="69"/>
    </row>
    <row r="52" spans="1:16" x14ac:dyDescent="0.2">
      <c r="L52" s="69"/>
      <c r="M52" s="69"/>
      <c r="N52" s="69"/>
      <c r="O52" s="69"/>
      <c r="P52" s="69"/>
    </row>
    <row r="62" spans="1:16" ht="10.8" thickBot="1" x14ac:dyDescent="0.25"/>
    <row r="63" spans="1:16" ht="10.8" thickBot="1" x14ac:dyDescent="0.25">
      <c r="A63" s="70" t="s">
        <v>126</v>
      </c>
    </row>
    <row r="64" spans="1:16" x14ac:dyDescent="0.2">
      <c r="A64" s="71" t="s">
        <v>23</v>
      </c>
      <c r="B64" s="3" t="s">
        <v>124</v>
      </c>
      <c r="C64" s="3" t="s">
        <v>123</v>
      </c>
      <c r="D64" s="3" t="s">
        <v>122</v>
      </c>
      <c r="E64" s="3" t="s">
        <v>125</v>
      </c>
      <c r="F64" s="3" t="s">
        <v>127</v>
      </c>
      <c r="G64" s="3" t="s">
        <v>245</v>
      </c>
      <c r="H64" s="3" t="s">
        <v>247</v>
      </c>
      <c r="I64" s="3" t="s">
        <v>246</v>
      </c>
      <c r="J64" s="3" t="s">
        <v>249</v>
      </c>
      <c r="K64" s="3" t="s">
        <v>248</v>
      </c>
    </row>
    <row r="65" spans="1:11" x14ac:dyDescent="0.2">
      <c r="A65" s="3" t="s">
        <v>14</v>
      </c>
      <c r="D65" s="66">
        <f>I5</f>
        <v>20.32153216</v>
      </c>
      <c r="E65" s="66">
        <f>Table1[[#This Row],[HHV HC (AR)]]/Table1[[#This Row],[HHV RAW (AR) ]]</f>
        <v>0</v>
      </c>
      <c r="F65" s="66">
        <f>Table1[[#This Row],[Solid yield]]*Table1[[#This Row],[HHV HC/ HHV RAW (AR)]]</f>
        <v>0</v>
      </c>
      <c r="G65" s="66">
        <f>J5</f>
        <v>21.800710357775035</v>
      </c>
      <c r="H65" s="66">
        <v>21.76</v>
      </c>
      <c r="I65" s="66">
        <f>Table1[[#This Row],[HHV HC DB]]/Table1[[#This Row],[HHV RAW DB]]</f>
        <v>1.0018708804124556</v>
      </c>
      <c r="J65" s="66"/>
      <c r="K65" s="66">
        <f>Table1[[#This Row],[SY DB]]*Table1[[#This Row],[HHV HC/ HHV RAW DB]]</f>
        <v>0</v>
      </c>
    </row>
    <row r="66" spans="1:11" x14ac:dyDescent="0.2">
      <c r="A66" s="3" t="s">
        <v>59</v>
      </c>
      <c r="B66" s="72">
        <v>0.39544182327069177</v>
      </c>
      <c r="C66" s="66">
        <f t="shared" ref="C66:C92" si="1">I7</f>
        <v>30.975658738749999</v>
      </c>
      <c r="D66" s="66">
        <v>20.28023121875</v>
      </c>
      <c r="E66" s="66">
        <f>Table1[[#This Row],[HHV HC (AR)]]/Table1[[#This Row],[HHV RAW (AR) ]]</f>
        <v>1.5273819319235171</v>
      </c>
      <c r="F66" s="66">
        <f>Table1[[#This Row],[Solid yield]]*Table1[[#This Row],[HHV HC/ HHV RAW (AR)]]</f>
        <v>0.60399069599054722</v>
      </c>
      <c r="G66" s="66">
        <f t="shared" ref="G66:G92" si="2">J7</f>
        <v>31.374427715007744</v>
      </c>
      <c r="H66" s="66">
        <v>21.76</v>
      </c>
      <c r="I66" s="66">
        <f>Table1[[#This Row],[HHV HC DB]]/Table1[[#This Row],[HHV RAW DB]]</f>
        <v>1.4418395089617528</v>
      </c>
      <c r="J66" s="66">
        <v>0.37335621442019817</v>
      </c>
      <c r="K66" s="66">
        <f>Table1[[#This Row],[SY DB]]*Table1[[#This Row],[HHV HC/ HHV RAW DB]]</f>
        <v>0.53831974086743739</v>
      </c>
    </row>
    <row r="67" spans="1:11" x14ac:dyDescent="0.2">
      <c r="A67" s="3" t="s">
        <v>57</v>
      </c>
      <c r="B67" s="66">
        <v>0.38735177865612597</v>
      </c>
      <c r="C67" s="66">
        <f t="shared" si="1"/>
        <v>27.755233368749998</v>
      </c>
      <c r="D67" s="66">
        <v>20.28023121875</v>
      </c>
      <c r="E67" s="66">
        <f>Table1[[#This Row],[HHV HC (AR)]]/Table1[[#This Row],[HHV RAW (AR) ]]</f>
        <v>1.3685856472429672</v>
      </c>
      <c r="F67" s="66">
        <f>Table1[[#This Row],[Solid yield]]*Table1[[#This Row],[HHV HC/ HHV RAW (AR)]]</f>
        <v>0.5301240847028087</v>
      </c>
      <c r="G67" s="66">
        <f t="shared" si="2"/>
        <v>29.038745939265535</v>
      </c>
      <c r="H67" s="66">
        <v>21.76</v>
      </c>
      <c r="I67" s="66">
        <f>Table1[[#This Row],[HHV HC DB]]/Table1[[#This Row],[HHV RAW DB]]</f>
        <v>1.3345011920618353</v>
      </c>
      <c r="J67" s="66">
        <v>0.40011355675811533</v>
      </c>
      <c r="K67" s="66">
        <f>Table1[[#This Row],[SY DB]]*Table1[[#This Row],[HHV HC/ HHV RAW DB]]</f>
        <v>0.53395201845380569</v>
      </c>
    </row>
    <row r="68" spans="1:11" x14ac:dyDescent="0.2">
      <c r="A68" s="3" t="s">
        <v>58</v>
      </c>
      <c r="B68" s="66">
        <v>0.3122529644268659</v>
      </c>
      <c r="C68" s="66">
        <f t="shared" si="1"/>
        <v>41.255617318749991</v>
      </c>
      <c r="D68" s="66">
        <v>20.28023121875</v>
      </c>
      <c r="E68" s="66">
        <f>Table1[[#This Row],[HHV HC (AR)]]/Table1[[#This Row],[HHV RAW (AR) ]]</f>
        <v>2.0342774632967346</v>
      </c>
      <c r="F68" s="66">
        <f>Table1[[#This Row],[Solid yield]]*Table1[[#This Row],[HHV HC/ HHV RAW (AR)]]</f>
        <v>0.63520916838117025</v>
      </c>
      <c r="G68" s="66">
        <f t="shared" si="2"/>
        <v>41.255617318749991</v>
      </c>
      <c r="H68" s="66">
        <v>21.76</v>
      </c>
      <c r="I68" s="66">
        <f>Table1[[#This Row],[HHV HC DB]]/Table1[[#This Row],[HHV RAW DB]]</f>
        <v>1.895938295898437</v>
      </c>
      <c r="J68" s="66">
        <v>0.30828422924900045</v>
      </c>
      <c r="K68" s="66">
        <f>Table1[[#This Row],[SY DB]]*Table1[[#This Row],[HHV HC/ HHV RAW DB]]</f>
        <v>0.58448787625471299</v>
      </c>
    </row>
    <row r="69" spans="1:11" x14ac:dyDescent="0.2">
      <c r="A69" s="3" t="s">
        <v>68</v>
      </c>
      <c r="B69" s="66">
        <v>0.44817255841821452</v>
      </c>
      <c r="C69" s="66">
        <f t="shared" si="1"/>
        <v>30.849233115000004</v>
      </c>
      <c r="D69" s="66">
        <v>20.28023121875</v>
      </c>
      <c r="E69" s="66">
        <f>Table1[[#This Row],[HHV HC (AR)]]/Table1[[#This Row],[HHV RAW (AR) ]]</f>
        <v>1.5211479978827105</v>
      </c>
      <c r="F69" s="66">
        <f>Table1[[#This Row],[Solid yield]]*Table1[[#This Row],[HHV HC/ HHV RAW (AR)]]</f>
        <v>0.68173678994383913</v>
      </c>
      <c r="G69" s="66">
        <f t="shared" si="2"/>
        <v>31.259355863934829</v>
      </c>
      <c r="H69" s="66">
        <v>21.76</v>
      </c>
      <c r="I69" s="66">
        <f>Table1[[#This Row],[HHV HC DB]]/Table1[[#This Row],[HHV RAW DB]]</f>
        <v>1.4365512805117109</v>
      </c>
      <c r="J69" s="66">
        <v>0.4233177082144266</v>
      </c>
      <c r="K69" s="66">
        <f>Table1[[#This Row],[SY DB]]*Table1[[#This Row],[HHV HC/ HHV RAW DB]]</f>
        <v>0.60811759579871738</v>
      </c>
    </row>
    <row r="70" spans="1:11" x14ac:dyDescent="0.2">
      <c r="A70" s="3" t="s">
        <v>60</v>
      </c>
      <c r="B70" s="66">
        <v>0.46799999999999997</v>
      </c>
      <c r="C70" s="66">
        <f t="shared" si="1"/>
        <v>27.588069519999998</v>
      </c>
      <c r="D70" s="66">
        <v>20.28023121875</v>
      </c>
      <c r="E70" s="66">
        <f>Table1[[#This Row],[HHV HC (AR)]]/Table1[[#This Row],[HHV RAW (AR) ]]</f>
        <v>1.3603429478897444</v>
      </c>
      <c r="F70" s="66">
        <f>Table1[[#This Row],[Solid yield]]*Table1[[#This Row],[HHV HC/ HHV RAW (AR)]]</f>
        <v>0.63664049961240032</v>
      </c>
      <c r="G70" s="66">
        <f t="shared" si="2"/>
        <v>28.784046658667634</v>
      </c>
      <c r="H70" s="66">
        <v>21.76</v>
      </c>
      <c r="I70" s="66">
        <f>Table1[[#This Row],[HHV HC DB]]/Table1[[#This Row],[HHV RAW DB]]</f>
        <v>1.3227962618872993</v>
      </c>
      <c r="J70" s="66">
        <v>0.48188203870833113</v>
      </c>
      <c r="K70" s="66">
        <f>Table1[[#This Row],[SY DB]]*Table1[[#This Row],[HHV HC/ HHV RAW DB]]</f>
        <v>0.63743175947401132</v>
      </c>
    </row>
    <row r="71" spans="1:11" x14ac:dyDescent="0.2">
      <c r="A71" s="3" t="s">
        <v>61</v>
      </c>
      <c r="B71" s="66">
        <v>0.29200000000000159</v>
      </c>
      <c r="C71" s="66">
        <f t="shared" si="1"/>
        <v>40.136279868749995</v>
      </c>
      <c r="D71" s="66">
        <v>20.28023121875</v>
      </c>
      <c r="E71" s="66">
        <f>Table1[[#This Row],[HHV HC (AR)]]/Table1[[#This Row],[HHV RAW (AR) ]]</f>
        <v>1.979083938236472</v>
      </c>
      <c r="F71" s="66">
        <f>Table1[[#This Row],[Solid yield]]*Table1[[#This Row],[HHV HC/ HHV RAW (AR)]]</f>
        <v>0.57789250996505293</v>
      </c>
      <c r="G71" s="66">
        <f t="shared" si="2"/>
        <v>40.136279868749995</v>
      </c>
      <c r="H71" s="66">
        <v>21.76</v>
      </c>
      <c r="I71" s="66">
        <f>Table1[[#This Row],[HHV HC DB]]/Table1[[#This Row],[HHV RAW DB]]</f>
        <v>1.844498155732996</v>
      </c>
      <c r="J71" s="66">
        <v>0.28816896000000158</v>
      </c>
      <c r="K71" s="66">
        <f>Table1[[#This Row],[SY DB]]*Table1[[#This Row],[HHV HC/ HHV RAW DB]]</f>
        <v>0.53152711525949847</v>
      </c>
    </row>
    <row r="72" spans="1:11" x14ac:dyDescent="0.2">
      <c r="A72" s="69" t="s">
        <v>62</v>
      </c>
      <c r="B72" s="73">
        <v>0.57168530351437707</v>
      </c>
      <c r="C72" s="66">
        <f t="shared" si="1"/>
        <v>31.734747348749998</v>
      </c>
      <c r="D72" s="73">
        <v>20.28023121875</v>
      </c>
      <c r="E72" s="73">
        <f>Table1[[#This Row],[HHV HC (AR)]]/Table1[[#This Row],[HHV RAW (AR) ]]</f>
        <v>1.5648119100047426</v>
      </c>
      <c r="F72" s="73">
        <f>Table1[[#This Row],[Solid yield]]*Table1[[#This Row],[HHV HC/ HHV RAW (AR)]]</f>
        <v>0.89457997171397341</v>
      </c>
      <c r="G72" s="73">
        <f t="shared" si="2"/>
        <v>32.159901243184905</v>
      </c>
      <c r="H72" s="73">
        <v>21.76</v>
      </c>
      <c r="I72" s="73">
        <f>Table1[[#This Row],[HHV HC DB]]/Table1[[#This Row],[HHV RAW DB]]</f>
        <v>1.477936638014012</v>
      </c>
      <c r="J72" s="73">
        <v>0.54003537839342053</v>
      </c>
      <c r="K72" s="73">
        <f>Table1[[#This Row],[SY DB]]*Table1[[#This Row],[HHV HC/ HHV RAW DB]]</f>
        <v>0.79813807155139671</v>
      </c>
    </row>
    <row r="73" spans="1:11" x14ac:dyDescent="0.2">
      <c r="A73" s="3" t="s">
        <v>63</v>
      </c>
      <c r="B73" s="66">
        <v>0.35968379446640214</v>
      </c>
      <c r="C73" s="66">
        <f t="shared" si="1"/>
        <v>26.218272808750001</v>
      </c>
      <c r="D73" s="66">
        <v>20.28023121875</v>
      </c>
      <c r="E73" s="66">
        <f>Table1[[#This Row],[HHV HC (AR)]]/Table1[[#This Row],[HHV RAW (AR) ]]</f>
        <v>1.2927995014430609</v>
      </c>
      <c r="F73" s="66">
        <f>Table1[[#This Row],[Solid yield]]*Table1[[#This Row],[HHV HC/ HHV RAW (AR)]]</f>
        <v>0.46499903016331307</v>
      </c>
      <c r="G73" s="66">
        <f t="shared" si="2"/>
        <v>27.681225580689436</v>
      </c>
      <c r="H73" s="66">
        <v>21.76</v>
      </c>
      <c r="I73" s="66">
        <f>Table1[[#This Row],[HHV HC DB]]/Table1[[#This Row],[HHV RAW DB]]</f>
        <v>1.2721151461713893</v>
      </c>
      <c r="J73" s="66">
        <v>0.37473343684058097</v>
      </c>
      <c r="K73" s="66">
        <f>Table1[[#This Row],[SY DB]]*Table1[[#This Row],[HHV HC/ HHV RAW DB]]</f>
        <v>0.47670408078176274</v>
      </c>
    </row>
    <row r="74" spans="1:11" x14ac:dyDescent="0.2">
      <c r="A74" s="3" t="s">
        <v>64</v>
      </c>
      <c r="B74" s="66">
        <v>0.30039525691699809</v>
      </c>
      <c r="C74" s="66">
        <f t="shared" si="1"/>
        <v>42.664600919999984</v>
      </c>
      <c r="D74" s="66">
        <v>20.28023121875</v>
      </c>
      <c r="E74" s="66">
        <f>Table1[[#This Row],[HHV HC (AR)]]/Table1[[#This Row],[HHV RAW (AR) ]]</f>
        <v>2.1037531801192983</v>
      </c>
      <c r="F74" s="66">
        <f>Table1[[#This Row],[Solid yield]]*Table1[[#This Row],[HHV HC/ HHV RAW (AR)]]</f>
        <v>0.63195747703188843</v>
      </c>
      <c r="G74" s="66">
        <f t="shared" si="2"/>
        <v>42.664600919999984</v>
      </c>
      <c r="H74" s="66">
        <v>21.76</v>
      </c>
      <c r="I74" s="66">
        <f>Table1[[#This Row],[HHV HC DB]]/Table1[[#This Row],[HHV RAW DB]]</f>
        <v>1.960689380514705</v>
      </c>
      <c r="J74" s="66">
        <v>0.29642403162055536</v>
      </c>
      <c r="K74" s="66">
        <f>Table1[[#This Row],[SY DB]]*Table1[[#This Row],[HHV HC/ HHV RAW DB]]</f>
        <v>0.58119545092777802</v>
      </c>
    </row>
    <row r="75" spans="1:11" x14ac:dyDescent="0.2">
      <c r="A75" s="3" t="s">
        <v>65</v>
      </c>
      <c r="B75" s="66">
        <v>0.59216313474610149</v>
      </c>
      <c r="C75" s="66">
        <f t="shared" si="1"/>
        <v>30.980359078750002</v>
      </c>
      <c r="D75" s="66">
        <v>20.28023121875</v>
      </c>
      <c r="E75" s="66">
        <f>Table1[[#This Row],[HHV HC (AR)]]/Table1[[#This Row],[HHV RAW (AR) ]]</f>
        <v>1.5276137014703879</v>
      </c>
      <c r="F75" s="66">
        <f>Table1[[#This Row],[Solid yield]]*Table1[[#This Row],[HHV HC/ HHV RAW (AR)]]</f>
        <v>0.90459651814380015</v>
      </c>
      <c r="G75" s="66">
        <f t="shared" si="2"/>
        <v>31.286339478853183</v>
      </c>
      <c r="H75" s="66">
        <v>21.76</v>
      </c>
      <c r="I75" s="66">
        <f>Table1[[#This Row],[HHV HC DB]]/Table1[[#This Row],[HHV RAW DB]]</f>
        <v>1.4377913363443557</v>
      </c>
      <c r="J75" s="66">
        <v>0.55743623509573037</v>
      </c>
      <c r="K75" s="66">
        <f>Table1[[#This Row],[SY DB]]*Table1[[#This Row],[HHV HC/ HHV RAW DB]]</f>
        <v>0.80147698938505663</v>
      </c>
    </row>
    <row r="76" spans="1:11" x14ac:dyDescent="0.2">
      <c r="A76" s="3" t="s">
        <v>66</v>
      </c>
      <c r="B76" s="66">
        <v>0.36904761904761896</v>
      </c>
      <c r="C76" s="66">
        <f t="shared" si="1"/>
        <v>26.802007888750001</v>
      </c>
      <c r="D76" s="66">
        <v>20.28023121875</v>
      </c>
      <c r="E76" s="66">
        <f>Table1[[#This Row],[HHV HC (AR)]]/Table1[[#This Row],[HHV RAW (AR) ]]</f>
        <v>1.3215829543388204</v>
      </c>
      <c r="F76" s="66">
        <f>Table1[[#This Row],[Solid yield]]*Table1[[#This Row],[HHV HC/ HHV RAW (AR)]]</f>
        <v>0.48772704267265982</v>
      </c>
      <c r="G76" s="66">
        <f t="shared" si="2"/>
        <v>28.283199021506285</v>
      </c>
      <c r="H76" s="66">
        <v>21.76</v>
      </c>
      <c r="I76" s="66">
        <f>Table1[[#This Row],[HHV HC DB]]/Table1[[#This Row],[HHV RAW DB]]</f>
        <v>1.2997793667971638</v>
      </c>
      <c r="J76" s="66">
        <v>0.38563398513484509</v>
      </c>
      <c r="K76" s="66">
        <f>Table1[[#This Row],[SY DB]]*Table1[[#This Row],[HHV HC/ HHV RAW DB]]</f>
        <v>0.50123909701403579</v>
      </c>
    </row>
    <row r="77" spans="1:11" x14ac:dyDescent="0.2">
      <c r="A77" s="3" t="s">
        <v>67</v>
      </c>
      <c r="B77" s="66">
        <v>0.31746031746032477</v>
      </c>
      <c r="C77" s="66">
        <f t="shared" si="1"/>
        <v>42.79388819874999</v>
      </c>
      <c r="D77" s="66">
        <v>20.28023121875</v>
      </c>
      <c r="E77" s="66">
        <f>Table1[[#This Row],[HHV HC (AR)]]/Table1[[#This Row],[HHV RAW (AR) ]]</f>
        <v>2.1101282197998357</v>
      </c>
      <c r="F77" s="66">
        <f>Table1[[#This Row],[Solid yield]]*Table1[[#This Row],[HHV HC/ HHV RAW (AR)]]</f>
        <v>0.66988197453964582</v>
      </c>
      <c r="G77" s="66">
        <f t="shared" si="2"/>
        <v>42.79388819874999</v>
      </c>
      <c r="H77" s="66">
        <v>21.76</v>
      </c>
      <c r="I77" s="66">
        <f>Table1[[#This Row],[HHV HC DB]]/Table1[[#This Row],[HHV RAW DB]]</f>
        <v>1.9666308914866721</v>
      </c>
      <c r="J77" s="66">
        <v>0.31435555555556283</v>
      </c>
      <c r="K77" s="66">
        <f>Table1[[#This Row],[SY DB]]*Table1[[#This Row],[HHV HC/ HHV RAW DB]]</f>
        <v>0.61822134646602456</v>
      </c>
    </row>
    <row r="78" spans="1:11" x14ac:dyDescent="0.2">
      <c r="A78" s="3" t="s">
        <v>69</v>
      </c>
      <c r="B78" s="66">
        <v>0.37647293788695824</v>
      </c>
      <c r="C78" s="66">
        <f t="shared" si="1"/>
        <v>34.337981098750006</v>
      </c>
      <c r="D78" s="66">
        <v>20.28023121875</v>
      </c>
      <c r="E78" s="66">
        <f>Table1[[#This Row],[HHV HC (AR)]]/Table1[[#This Row],[HHV RAW (AR) ]]</f>
        <v>1.6931750298291952</v>
      </c>
      <c r="F78" s="66">
        <f>Table1[[#This Row],[Solid yield]]*Table1[[#This Row],[HHV HC/ HHV RAW (AR)]]</f>
        <v>0.63743457783663526</v>
      </c>
      <c r="G78" s="66">
        <f t="shared" si="2"/>
        <v>34.58004138846929</v>
      </c>
      <c r="H78" s="66">
        <v>21.76</v>
      </c>
      <c r="I78" s="66">
        <f>Table1[[#This Row],[HHV HC DB]]/Table1[[#This Row],[HHV RAW DB]]</f>
        <v>1.5891563138083313</v>
      </c>
      <c r="J78" s="66">
        <v>0.36807004381142161</v>
      </c>
      <c r="K78" s="66">
        <f>Table1[[#This Row],[SY DB]]*Table1[[#This Row],[HHV HC/ HHV RAW DB]]</f>
        <v>0.58492083404662976</v>
      </c>
    </row>
    <row r="79" spans="1:11" x14ac:dyDescent="0.2">
      <c r="A79" s="3" t="s">
        <v>70</v>
      </c>
      <c r="B79" s="66">
        <v>0.29880478087649476</v>
      </c>
      <c r="C79" s="66">
        <f t="shared" si="1"/>
        <v>22.61842034</v>
      </c>
      <c r="D79" s="66">
        <v>20.28023121875</v>
      </c>
      <c r="E79" s="66">
        <f>Table1[[#This Row],[HHV HC (AR)]]/Table1[[#This Row],[HHV RAW (AR) ]]</f>
        <v>1.1152940070568937</v>
      </c>
      <c r="F79" s="66">
        <f>Table1[[#This Row],[Solid yield]]*Table1[[#This Row],[HHV HC/ HHV RAW (AR)]]</f>
        <v>0.33325518139150295</v>
      </c>
      <c r="G79" s="66">
        <f t="shared" si="2"/>
        <v>23.411363211990107</v>
      </c>
      <c r="H79" s="66">
        <v>21.76</v>
      </c>
      <c r="I79" s="66">
        <f>Table1[[#This Row],[HHV HC DB]]/Table1[[#This Row],[HHV RAW DB]]</f>
        <v>1.0758898534921923</v>
      </c>
      <c r="J79" s="66">
        <v>0.31043434548060189</v>
      </c>
      <c r="K79" s="66">
        <f>Table1[[#This Row],[SY DB]]*Table1[[#This Row],[HHV HC/ HHV RAW DB]]</f>
        <v>0.33399316247806937</v>
      </c>
    </row>
    <row r="80" spans="1:11" x14ac:dyDescent="0.2">
      <c r="A80" s="3" t="s">
        <v>71</v>
      </c>
      <c r="B80" s="66">
        <v>0.35458167330678164</v>
      </c>
      <c r="C80" s="66">
        <f t="shared" si="1"/>
        <v>37.263055140000006</v>
      </c>
      <c r="D80" s="66">
        <v>20.28023121875</v>
      </c>
      <c r="E80" s="66">
        <f>Table1[[#This Row],[HHV HC (AR)]]/Table1[[#This Row],[HHV RAW (AR) ]]</f>
        <v>1.8374078055652843</v>
      </c>
      <c r="F80" s="66">
        <f>Table1[[#This Row],[Solid yield]]*Table1[[#This Row],[HHV HC/ HHV RAW (AR)]]</f>
        <v>0.6515111342442802</v>
      </c>
      <c r="G80" s="66">
        <f t="shared" si="2"/>
        <v>37.263055140000006</v>
      </c>
      <c r="H80" s="66">
        <v>21.76</v>
      </c>
      <c r="I80" s="66">
        <f>Table1[[#This Row],[HHV HC DB]]/Table1[[#This Row],[HHV RAW DB]]</f>
        <v>1.7124565781250001</v>
      </c>
      <c r="J80" s="66">
        <v>0.35209960159363418</v>
      </c>
      <c r="K80" s="66">
        <f>Table1[[#This Row],[SY DB]]*Table1[[#This Row],[HHV HC/ HHV RAW DB]]</f>
        <v>0.60295527890421063</v>
      </c>
    </row>
    <row r="81" spans="1:11" x14ac:dyDescent="0.2">
      <c r="A81" s="3" t="s">
        <v>72</v>
      </c>
      <c r="B81" s="66">
        <v>0.42543421840686757</v>
      </c>
      <c r="C81" s="66">
        <f t="shared" si="1"/>
        <v>31.790282874999995</v>
      </c>
      <c r="D81" s="66">
        <v>20.28023121875</v>
      </c>
      <c r="E81" s="66">
        <f>Table1[[#This Row],[HHV HC (AR)]]/Table1[[#This Row],[HHV RAW (AR) ]]</f>
        <v>1.567550316961299</v>
      </c>
      <c r="F81" s="66">
        <f>Table1[[#This Row],[Solid yield]]*Table1[[#This Row],[HHV HC/ HHV RAW (AR)]]</f>
        <v>0.66688954390986777</v>
      </c>
      <c r="G81" s="66">
        <f t="shared" si="2"/>
        <v>31.866124250716698</v>
      </c>
      <c r="H81" s="66">
        <v>21.76</v>
      </c>
      <c r="I81" s="66">
        <f>Table1[[#This Row],[HHV HC DB]]/Table1[[#This Row],[HHV RAW DB]]</f>
        <v>1.4644358571101423</v>
      </c>
      <c r="J81" s="66">
        <v>0.39751433407748776</v>
      </c>
      <c r="K81" s="66">
        <f>Table1[[#This Row],[SY DB]]*Table1[[#This Row],[HHV HC/ HHV RAW DB]]</f>
        <v>0.58213424453833329</v>
      </c>
    </row>
    <row r="82" spans="1:11" x14ac:dyDescent="0.2">
      <c r="A82" s="3" t="s">
        <v>73</v>
      </c>
      <c r="B82" s="66">
        <v>0.22310756972111398</v>
      </c>
      <c r="C82" s="66">
        <f t="shared" si="1"/>
        <v>21.981568708749997</v>
      </c>
      <c r="D82" s="66">
        <v>20.28023121875</v>
      </c>
      <c r="E82" s="66">
        <f>Table1[[#This Row],[HHV HC (AR)]]/Table1[[#This Row],[HHV RAW (AR) ]]</f>
        <v>1.0838914246908109</v>
      </c>
      <c r="F82" s="66">
        <f>Table1[[#This Row],[Solid yield]]*Table1[[#This Row],[HHV HC/ HHV RAW (AR)]]</f>
        <v>0.24182438160432265</v>
      </c>
      <c r="G82" s="66">
        <f t="shared" si="2"/>
        <v>22.789691157183736</v>
      </c>
      <c r="H82" s="66">
        <v>21.76</v>
      </c>
      <c r="I82" s="66">
        <f>Table1[[#This Row],[HHV HC DB]]/Table1[[#This Row],[HHV RAW DB]]</f>
        <v>1.0473203656793995</v>
      </c>
      <c r="J82" s="66">
        <v>0.23075929842741383</v>
      </c>
      <c r="K82" s="66">
        <f>Table1[[#This Row],[SY DB]]*Table1[[#This Row],[HHV HC/ HHV RAW DB]]</f>
        <v>0.24167891281292073</v>
      </c>
    </row>
    <row r="83" spans="1:11" x14ac:dyDescent="0.2">
      <c r="A83" s="3" t="s">
        <v>74</v>
      </c>
      <c r="B83" s="66">
        <v>0.41832669322709332</v>
      </c>
      <c r="C83" s="66">
        <f t="shared" si="1"/>
        <v>40.116087568750011</v>
      </c>
      <c r="D83" s="66">
        <v>20.28023121875</v>
      </c>
      <c r="E83" s="66">
        <f>Table1[[#This Row],[HHV HC (AR)]]/Table1[[#This Row],[HHV RAW (AR) ]]</f>
        <v>1.9780882740459516</v>
      </c>
      <c r="F83" s="66">
        <f>Table1[[#This Row],[Solid yield]]*Table1[[#This Row],[HHV HC/ HHV RAW (AR)]]</f>
        <v>0.82748712659293122</v>
      </c>
      <c r="G83" s="66">
        <f t="shared" si="2"/>
        <v>40.116087568750011</v>
      </c>
      <c r="H83" s="66">
        <v>21.76</v>
      </c>
      <c r="I83" s="66">
        <f>Table1[[#This Row],[HHV HC DB]]/Table1[[#This Row],[HHV RAW DB]]</f>
        <v>1.8435702007697614</v>
      </c>
      <c r="J83" s="66">
        <v>0.41733107569721284</v>
      </c>
      <c r="K83" s="66">
        <f>Table1[[#This Row],[SY DB]]*Table1[[#This Row],[HHV HC/ HHV RAW DB]]</f>
        <v>0.7693791350105712</v>
      </c>
    </row>
    <row r="84" spans="1:11" x14ac:dyDescent="0.2">
      <c r="A84" s="3" t="s">
        <v>75</v>
      </c>
      <c r="B84" s="66">
        <v>0.66633366633366631</v>
      </c>
      <c r="C84" s="66">
        <f t="shared" si="1"/>
        <v>26.989098698749995</v>
      </c>
      <c r="D84" s="66">
        <v>20.28023121875</v>
      </c>
      <c r="E84" s="66">
        <f>Table1[[#This Row],[HHV HC (AR)]]/Table1[[#This Row],[HHV RAW (AR) ]]</f>
        <v>1.3308082342669416</v>
      </c>
      <c r="F84" s="66">
        <f>Table1[[#This Row],[Solid yield]]*Table1[[#This Row],[HHV HC/ HHV RAW (AR)]]</f>
        <v>0.88676232992612392</v>
      </c>
      <c r="G84" s="66">
        <f t="shared" si="2"/>
        <v>27.514628095371592</v>
      </c>
      <c r="H84" s="66">
        <v>21.76</v>
      </c>
      <c r="I84" s="66">
        <f>Table1[[#This Row],[HHV HC DB]]/Table1[[#This Row],[HHV RAW DB]]</f>
        <v>1.2644590117358268</v>
      </c>
      <c r="J84" s="66">
        <v>0.63321696908768088</v>
      </c>
      <c r="K84" s="66">
        <f>Table1[[#This Row],[SY DB]]*Table1[[#This Row],[HHV HC/ HHV RAW DB]]</f>
        <v>0.80067690294696447</v>
      </c>
    </row>
    <row r="85" spans="1:11" x14ac:dyDescent="0.2">
      <c r="A85" s="3" t="s">
        <v>76</v>
      </c>
      <c r="B85" s="66">
        <v>0.21031746031746007</v>
      </c>
      <c r="C85" s="66">
        <f t="shared" si="1"/>
        <v>24.593691378750002</v>
      </c>
      <c r="D85" s="66">
        <v>20.28023121875</v>
      </c>
      <c r="E85" s="66">
        <f>Table1[[#This Row],[HHV HC (AR)]]/Table1[[#This Row],[HHV RAW (AR) ]]</f>
        <v>1.212692849182706</v>
      </c>
      <c r="F85" s="66">
        <f>Table1[[#This Row],[Solid yield]]*Table1[[#This Row],[HHV HC/ HHV RAW (AR)]]</f>
        <v>0.25505048018525134</v>
      </c>
      <c r="G85" s="66">
        <f t="shared" si="2"/>
        <v>24.593691378750002</v>
      </c>
      <c r="H85" s="66">
        <v>21.76</v>
      </c>
      <c r="I85" s="66">
        <f>Table1[[#This Row],[HHV HC DB]]/Table1[[#This Row],[HHV RAW DB]]</f>
        <v>1.1302247876263787</v>
      </c>
      <c r="J85" s="66">
        <v>0.20630039682539655</v>
      </c>
      <c r="K85" s="66">
        <f>Table1[[#This Row],[SY DB]]*Table1[[#This Row],[HHV HC/ HHV RAW DB]]</f>
        <v>0.23316582218922147</v>
      </c>
    </row>
    <row r="86" spans="1:11" x14ac:dyDescent="0.2">
      <c r="A86" s="3" t="s">
        <v>77</v>
      </c>
      <c r="B86" s="66">
        <v>0.27380952380952006</v>
      </c>
      <c r="C86" s="66">
        <f t="shared" si="1"/>
        <v>39.224164555000002</v>
      </c>
      <c r="D86" s="66">
        <v>20.28023121875</v>
      </c>
      <c r="E86" s="66">
        <f>Table1[[#This Row],[HHV HC (AR)]]/Table1[[#This Row],[HHV RAW (AR) ]]</f>
        <v>1.9341083507339636</v>
      </c>
      <c r="F86" s="66">
        <f>Table1[[#This Row],[Solid yield]]*Table1[[#This Row],[HHV HC/ HHV RAW (AR)]]</f>
        <v>0.52957728651048275</v>
      </c>
      <c r="G86" s="66">
        <f t="shared" si="2"/>
        <v>39.224164555000002</v>
      </c>
      <c r="H86" s="66">
        <v>21.76</v>
      </c>
      <c r="I86" s="66">
        <f>Table1[[#This Row],[HHV HC DB]]/Table1[[#This Row],[HHV RAW DB]]</f>
        <v>1.8025810916819853</v>
      </c>
      <c r="J86" s="66">
        <v>0.26857976190475824</v>
      </c>
      <c r="K86" s="66">
        <f>Table1[[#This Row],[SY DB]]*Table1[[#This Row],[HHV HC/ HHV RAW DB]]</f>
        <v>0.48413680041796681</v>
      </c>
    </row>
    <row r="87" spans="1:11" x14ac:dyDescent="0.2">
      <c r="A87" s="3" t="s">
        <v>78</v>
      </c>
      <c r="B87" s="66">
        <v>0.67291957693075233</v>
      </c>
      <c r="C87" s="66">
        <f t="shared" si="1"/>
        <v>26.731226008750006</v>
      </c>
      <c r="D87" s="66">
        <v>20.28023121875</v>
      </c>
      <c r="E87" s="66">
        <f>Table1[[#This Row],[HHV HC (AR)]]/Table1[[#This Row],[HHV RAW (AR) ]]</f>
        <v>1.3180927633623707</v>
      </c>
      <c r="F87" s="66">
        <f>Table1[[#This Row],[Solid yield]]*Table1[[#This Row],[HHV HC/ HHV RAW (AR)]]</f>
        <v>0.8869704246772927</v>
      </c>
      <c r="G87" s="66">
        <f t="shared" si="2"/>
        <v>27.348201433080295</v>
      </c>
      <c r="H87" s="66">
        <v>21.76</v>
      </c>
      <c r="I87" s="66">
        <f>Table1[[#This Row],[HHV HC DB]]/Table1[[#This Row],[HHV RAW DB]]</f>
        <v>1.2568107276231753</v>
      </c>
      <c r="J87" s="66">
        <v>0.64173921424021307</v>
      </c>
      <c r="K87" s="66">
        <f>Table1[[#This Row],[SY DB]]*Table1[[#This Row],[HHV HC/ HHV RAW DB]]</f>
        <v>0.80654472879356698</v>
      </c>
    </row>
    <row r="88" spans="1:11" x14ac:dyDescent="0.2">
      <c r="A88" s="3" t="s">
        <v>79</v>
      </c>
      <c r="B88" s="66">
        <v>0.26377952755905404</v>
      </c>
      <c r="C88" s="66">
        <f t="shared" si="1"/>
        <v>26.500562398749999</v>
      </c>
      <c r="D88" s="66">
        <v>20.28023121875</v>
      </c>
      <c r="E88" s="66">
        <f>Table1[[#This Row],[HHV HC (AR)]]/Table1[[#This Row],[HHV RAW (AR) ]]</f>
        <v>1.3067189477725982</v>
      </c>
      <c r="F88" s="66">
        <f>Table1[[#This Row],[Solid yield]]*Table1[[#This Row],[HHV HC/ HHV RAW (AR)]]</f>
        <v>0.34468570669592019</v>
      </c>
      <c r="G88" s="66">
        <f t="shared" si="2"/>
        <v>26.500562398749999</v>
      </c>
      <c r="H88" s="66">
        <v>21.76</v>
      </c>
      <c r="I88" s="66">
        <f>Table1[[#This Row],[HHV HC DB]]/Table1[[#This Row],[HHV RAW DB]]</f>
        <v>1.2178567278837316</v>
      </c>
      <c r="J88" s="66">
        <v>0.2720773523604379</v>
      </c>
      <c r="K88" s="66">
        <f>Table1[[#This Row],[SY DB]]*Table1[[#This Row],[HHV HC/ HHV RAW DB]]</f>
        <v>0.33135123407695194</v>
      </c>
    </row>
    <row r="89" spans="1:11" x14ac:dyDescent="0.2">
      <c r="A89" s="3" t="s">
        <v>80</v>
      </c>
      <c r="B89" s="66">
        <v>0.28346456692914462</v>
      </c>
      <c r="C89" s="66">
        <f t="shared" si="1"/>
        <v>36.338630738750005</v>
      </c>
      <c r="D89" s="66">
        <v>20.28023121875</v>
      </c>
      <c r="E89" s="66">
        <f>Table1[[#This Row],[HHV HC (AR)]]/Table1[[#This Row],[HHV RAW (AR) ]]</f>
        <v>1.7918252680054891</v>
      </c>
      <c r="F89" s="66">
        <f>Table1[[#This Row],[Solid yield]]*Table1[[#This Row],[HHV HC/ HHV RAW (AR)]]</f>
        <v>0.50791897360787452</v>
      </c>
      <c r="G89" s="66">
        <f t="shared" si="2"/>
        <v>36.338630738750005</v>
      </c>
      <c r="H89" s="66">
        <v>21.76</v>
      </c>
      <c r="I89" s="66">
        <f>Table1[[#This Row],[HHV HC DB]]/Table1[[#This Row],[HHV RAW DB]]</f>
        <v>1.6699738390969669</v>
      </c>
      <c r="J89" s="66">
        <v>0.27706960629922311</v>
      </c>
      <c r="K89" s="66">
        <f>Table1[[#This Row],[SY DB]]*Table1[[#This Row],[HHV HC/ HHV RAW DB]]</f>
        <v>0.46269899412859883</v>
      </c>
    </row>
    <row r="90" spans="1:11" x14ac:dyDescent="0.2">
      <c r="A90" s="3" t="str">
        <f>A31</f>
        <v>HTC 223 D1</v>
      </c>
      <c r="B90" s="66">
        <f>(5.469-3.448)/4.997</f>
        <v>0.40444266559935971</v>
      </c>
      <c r="C90" s="66">
        <f t="shared" si="1"/>
        <v>27.636469760000001</v>
      </c>
      <c r="D90" s="66">
        <f>I31</f>
        <v>27.636469760000001</v>
      </c>
      <c r="E90" s="66">
        <f>Table1[[#This Row],[HHV HC (AR)]]/Table1[[#This Row],[HHV RAW (AR) ]]</f>
        <v>1</v>
      </c>
      <c r="F90" s="66">
        <f>Table1[[#This Row],[Solid yield]]*Table1[[#This Row],[HHV HC/ HHV RAW (AR)]]</f>
        <v>0.40444266559935971</v>
      </c>
      <c r="G90" s="66">
        <f t="shared" si="2"/>
        <v>28.558807225624442</v>
      </c>
      <c r="H90" s="66">
        <v>21.76</v>
      </c>
      <c r="I90" s="66">
        <f>Table1[[#This Row],[HHV HC DB]]/Table1[[#This Row],[HHV RAW DB]]</f>
        <v>1.3124451850011232</v>
      </c>
      <c r="J90" s="74">
        <v>0.41794050473796129</v>
      </c>
      <c r="K90" s="66">
        <f>Table1[[#This Row],[SY DB]]*Table1[[#This Row],[HHV HC/ HHV RAW DB]]</f>
        <v>0.54852400306027638</v>
      </c>
    </row>
    <row r="91" spans="1:11" x14ac:dyDescent="0.2">
      <c r="A91" s="3" t="str">
        <f>A32</f>
        <v>HTC 223 D2</v>
      </c>
      <c r="B91" s="66">
        <f>(5.539-3.49)/5.005</f>
        <v>0.40939060939060928</v>
      </c>
      <c r="C91" s="66">
        <f t="shared" si="1"/>
        <v>27.767828400000006</v>
      </c>
      <c r="D91" s="66">
        <f>I32</f>
        <v>27.767828400000006</v>
      </c>
      <c r="E91" s="66">
        <f>Table1[[#This Row],[HHV HC (AR)]]/Table1[[#This Row],[HHV RAW (AR) ]]</f>
        <v>1</v>
      </c>
      <c r="F91" s="66">
        <f>Table1[[#This Row],[Solid yield]]*Table1[[#This Row],[HHV HC/ HHV RAW (AR)]]</f>
        <v>0.40939060939060928</v>
      </c>
      <c r="G91" s="66">
        <f t="shared" si="2"/>
        <v>28.694549819007701</v>
      </c>
      <c r="H91" s="66">
        <v>21.76</v>
      </c>
      <c r="I91" s="66">
        <f>Table1[[#This Row],[HHV HC DB]]/Table1[[#This Row],[HHV RAW DB]]</f>
        <v>1.3186833556529274</v>
      </c>
      <c r="J91" s="74">
        <v>0.42305358083359362</v>
      </c>
      <c r="K91" s="66">
        <f>Table1[[#This Row],[SY DB]]*Table1[[#This Row],[HHV HC/ HHV RAW DB]]</f>
        <v>0.55787371559463017</v>
      </c>
    </row>
    <row r="92" spans="1:11" x14ac:dyDescent="0.2">
      <c r="A92" s="3" t="str">
        <f>A33</f>
        <v>HTC 223 D3</v>
      </c>
      <c r="B92" s="66">
        <f>(5.545-3.536)/4.993</f>
        <v>0.40236330863208486</v>
      </c>
      <c r="C92" s="66">
        <f t="shared" si="1"/>
        <v>27.795128524444443</v>
      </c>
      <c r="D92" s="66">
        <f>I33</f>
        <v>27.795128524444443</v>
      </c>
      <c r="E92" s="66">
        <f>Table1[[#This Row],[HHV HC (AR)]]/Table1[[#This Row],[HHV RAW (AR) ]]</f>
        <v>1</v>
      </c>
      <c r="F92" s="66">
        <f>Table1[[#This Row],[Solid yield]]*Table1[[#This Row],[HHV HC/ HHV RAW (AR)]]</f>
        <v>0.40236330863208486</v>
      </c>
      <c r="G92" s="66">
        <f t="shared" si="2"/>
        <v>28.722761055754468</v>
      </c>
      <c r="H92" s="66">
        <v>21.76</v>
      </c>
      <c r="I92" s="66">
        <f>Table1[[#This Row],[HHV HC DB]]/Table1[[#This Row],[HHV RAW DB]]</f>
        <v>1.3199798279298927</v>
      </c>
      <c r="J92" s="74">
        <v>0.415791751467469</v>
      </c>
      <c r="K92" s="66">
        <f>Table1[[#This Row],[SY DB]]*Table1[[#This Row],[HHV HC/ HHV RAW DB]]</f>
        <v>0.54883672455669841</v>
      </c>
    </row>
    <row r="93" spans="1:11" x14ac:dyDescent="0.2">
      <c r="A93" s="3" t="str">
        <f>A31</f>
        <v>HTC 223 D1</v>
      </c>
      <c r="B93" s="66"/>
      <c r="D93" s="66"/>
      <c r="E93" s="66"/>
      <c r="F93" s="65"/>
    </row>
    <row r="95" spans="1:11" x14ac:dyDescent="0.2">
      <c r="G95" s="66"/>
    </row>
    <row r="97" spans="10:10" x14ac:dyDescent="0.2">
      <c r="J97" s="74"/>
    </row>
  </sheetData>
  <pageMargins left="0.7" right="0.7" top="0.75" bottom="0.75" header="0.3" footer="0.3"/>
  <tableParts count="2">
    <tablePart r:id="rId1"/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M39"/>
  <sheetViews>
    <sheetView tabSelected="1" zoomScale="80" zoomScaleNormal="80" workbookViewId="0">
      <selection activeCell="P30" sqref="P30"/>
    </sheetView>
  </sheetViews>
  <sheetFormatPr defaultRowHeight="10.199999999999999" x14ac:dyDescent="0.2"/>
  <cols>
    <col min="1" max="1" width="22.140625" bestFit="1" customWidth="1"/>
    <col min="2" max="2" width="18" customWidth="1"/>
    <col min="3" max="3" width="25.5703125" customWidth="1"/>
    <col min="4" max="4" width="12" customWidth="1"/>
    <col min="5" max="5" width="17.28515625" customWidth="1"/>
    <col min="6" max="6" width="22.7109375" customWidth="1"/>
    <col min="7" max="7" width="39.7109375" customWidth="1"/>
    <col min="8" max="8" width="13.140625" customWidth="1"/>
    <col min="9" max="9" width="33.85546875" customWidth="1"/>
    <col min="10" max="10" width="12.140625" bestFit="1" customWidth="1"/>
    <col min="11" max="11" width="17.7109375" bestFit="1" customWidth="1"/>
    <col min="13" max="13" width="17.42578125" customWidth="1"/>
  </cols>
  <sheetData>
    <row r="2" spans="1:13" x14ac:dyDescent="0.2">
      <c r="A2" t="s">
        <v>0</v>
      </c>
      <c r="B2" t="s">
        <v>108</v>
      </c>
      <c r="C2" t="s">
        <v>109</v>
      </c>
      <c r="D2" t="s">
        <v>120</v>
      </c>
      <c r="E2" t="s">
        <v>119</v>
      </c>
      <c r="F2" t="s">
        <v>127</v>
      </c>
      <c r="G2" t="s">
        <v>129</v>
      </c>
      <c r="H2" t="s">
        <v>128</v>
      </c>
      <c r="I2" t="s">
        <v>261</v>
      </c>
      <c r="J2" t="s">
        <v>138</v>
      </c>
      <c r="K2" t="s">
        <v>139</v>
      </c>
      <c r="L2" t="s">
        <v>11</v>
      </c>
      <c r="M2" t="s">
        <v>140</v>
      </c>
    </row>
    <row r="3" spans="1:13" x14ac:dyDescent="0.2">
      <c r="A3" t="s">
        <v>14</v>
      </c>
      <c r="B3" s="9">
        <f>'HHV, EY'!K5</f>
        <v>20.280329417499999</v>
      </c>
      <c r="C3" s="9">
        <f>'HHV, EY'!N5</f>
        <v>6.2510837580288095E-2</v>
      </c>
      <c r="D3">
        <f>'HTC223 ultimate'!G36</f>
        <v>4.8062329252251339E-2</v>
      </c>
      <c r="E3">
        <v>0</v>
      </c>
      <c r="F3" s="9">
        <v>0</v>
      </c>
      <c r="J3">
        <f>'HTC223 ultimate'!F36</f>
        <v>0.14600829707578669</v>
      </c>
      <c r="L3">
        <f>'HTC223 ultimate'!H36</f>
        <v>0.82960639481938692</v>
      </c>
    </row>
    <row r="4" spans="1:13" x14ac:dyDescent="0.2">
      <c r="A4" t="s">
        <v>110</v>
      </c>
      <c r="B4" s="9">
        <f>'HHV, EY'!K7</f>
        <v>30.912445926875002</v>
      </c>
      <c r="C4" s="9">
        <f>'HHV, EY'!L7</f>
        <v>8.9396415869360493E-2</v>
      </c>
      <c r="D4">
        <f>AVERAGE('HTC223 ultimate'!G55,'HTC223 ultimate'!G58)</f>
        <v>4.3539020805185152E-2</v>
      </c>
      <c r="E4">
        <f>STDEV('HTC223 ultimate'!G55,'HTC223 ultimate'!G58)</f>
        <v>1.9866863915187598E-3</v>
      </c>
      <c r="F4" s="9">
        <f>AVERAGE('HHV, EY'!F66,'HHV, EY'!F69)</f>
        <v>0.64286374296719317</v>
      </c>
      <c r="G4">
        <f>STDEV('HHV, EY'!F66,'HHV, EY'!F69)</f>
        <v>5.4974790245139148E-2</v>
      </c>
      <c r="H4" s="31">
        <f>AVERAGE('HHV, EY'!B66,'HHV, EY'!B69)</f>
        <v>0.42180719084445317</v>
      </c>
      <c r="I4" s="31">
        <f>STDEV('HHV, EY'!B66,'HHV, EY'!B69)</f>
        <v>3.728626039976516E-2</v>
      </c>
      <c r="J4">
        <f>AVERAGE('HTC223 ultimate'!F55,'HTC223 ultimate'!F58)</f>
        <v>0.10211676859180391</v>
      </c>
      <c r="K4">
        <f>STDEV('HTC223 ultimate'!F55,'HTC223 ultimate'!F58)</f>
        <v>2.0004497288741781E-3</v>
      </c>
      <c r="L4">
        <f>AVERAGE('HTC223 ultimate'!H55,'HTC223 ultimate'!H58)</f>
        <v>0.3079073756950485</v>
      </c>
      <c r="M4">
        <f>STDEV('HTC223 ultimate'!H55,'HTC223 ultimate'!H58)</f>
        <v>4.0056839448995322E-3</v>
      </c>
    </row>
    <row r="5" spans="1:13" x14ac:dyDescent="0.2">
      <c r="A5" t="s">
        <v>111</v>
      </c>
      <c r="B5" s="30">
        <f>'HHV, EY'!K8</f>
        <v>27.671651444374998</v>
      </c>
      <c r="C5" s="30">
        <f>'HHV, EY'!L8</f>
        <v>0.11820269102036769</v>
      </c>
      <c r="D5" s="1">
        <f>'HTC223 ultimate'!G56</f>
        <v>5.7821334338484728E-2</v>
      </c>
      <c r="E5">
        <f>STDEV('HTC223 ultimate'!G56,'HTC223 ultimate'!G59)</f>
        <v>5.833299710075329E-4</v>
      </c>
      <c r="F5" s="30">
        <f>'HHV, EY'!F67</f>
        <v>0.5301240847028087</v>
      </c>
      <c r="G5">
        <f>STDEV('HHV, EY'!F67,'HHV, EY'!F70)</f>
        <v>7.5318479290252108E-2</v>
      </c>
      <c r="H5" s="31">
        <f>AVERAGE('HHV, EY'!B67,'HHV, EY'!B70)</f>
        <v>0.427675889328063</v>
      </c>
      <c r="I5" s="31">
        <f>STDEV('HHV, EY'!F67,'HHV, EY'!F70)</f>
        <v>7.5318479290252108E-2</v>
      </c>
      <c r="J5">
        <f>AVERAGE('HTC223 ultimate'!F56)</f>
        <v>8.3075763286845072E-2</v>
      </c>
      <c r="K5">
        <f>STDEV('HTC223 ultimate'!F56,'HTC223 ultimate'!F59)</f>
        <v>1.4349471996731185E-3</v>
      </c>
      <c r="L5">
        <f>AVERAGE('HTC223 ultimate'!H56)</f>
        <v>0.36683000376931774</v>
      </c>
      <c r="M5">
        <f>STDEV('HTC223 ultimate'!H56,'HTC223 ultimate'!H59)</f>
        <v>2.0986544367826232E-3</v>
      </c>
    </row>
    <row r="6" spans="1:13" x14ac:dyDescent="0.2">
      <c r="A6" t="s">
        <v>112</v>
      </c>
      <c r="B6" s="9">
        <f>'HHV, EY'!K9</f>
        <v>40.695948593749989</v>
      </c>
      <c r="C6" s="9">
        <f>'HHV, EY'!L9</f>
        <v>0.79149110133105538</v>
      </c>
      <c r="D6">
        <f>AVERAGE('HTC223 ultimate'!G57,'HTC223 ultimate'!G60)</f>
        <v>1.9116683021098552E-2</v>
      </c>
      <c r="E6">
        <f>STDEV('HTC223 ultimate'!G57,'HTC223 ultimate'!G60)</f>
        <v>3.2812651851528737E-3</v>
      </c>
      <c r="F6" s="9">
        <f>AVERAGE('HHV, EY'!F68,'HHV, EY'!F71)</f>
        <v>0.60655083917311159</v>
      </c>
      <c r="G6">
        <f>STDEV('HHV, EY'!F68,'HHV, EY'!F71)</f>
        <v>4.0528997840989567E-2</v>
      </c>
      <c r="H6" s="31">
        <f>AVERAGE('HHV, EY'!B68,'HHV, EY'!B71)</f>
        <v>0.30212648221343374</v>
      </c>
      <c r="I6" s="31">
        <f>STDEV('HHV, EY'!B68,'HHV, EY'!B71)</f>
        <v>1.4321008485365669E-2</v>
      </c>
      <c r="J6">
        <f>AVERAGE('HTC223 ultimate'!F57,'HTC223 ultimate'!F60)</f>
        <v>0.15864697186265397</v>
      </c>
      <c r="K6">
        <f>STDEV('HTC223 ultimate'!F57,'HTC223 ultimate'!F60)</f>
        <v>1.4920322270755876E-3</v>
      </c>
      <c r="L6">
        <f>AVERAGE('HTC223 ultimate'!H57,'HTC223 ultimate'!H60)</f>
        <v>0.18439828713446976</v>
      </c>
      <c r="M6">
        <f>STDEV('HTC223 ultimate'!H57,'HTC223 ultimate'!H60)</f>
        <v>8.9690458125520831E-3</v>
      </c>
    </row>
    <row r="7" spans="1:13" x14ac:dyDescent="0.2">
      <c r="A7" t="s">
        <v>105</v>
      </c>
      <c r="B7" s="9">
        <f>'HHV, EY'!K13</f>
        <v>31.357553213750002</v>
      </c>
      <c r="C7" s="9">
        <f>'HHV, EY'!L13</f>
        <v>0.53343306136458546</v>
      </c>
      <c r="D7">
        <f>AVERAGE('HTC223 ultimate'!G37,'HTC223 ultimate'!G40)</f>
        <v>3.7832975964796657E-2</v>
      </c>
      <c r="E7">
        <f>STDEV('HTC223 ultimate'!G37,'HTC223 ultimate'!G40)</f>
        <v>9.7273182236321855E-4</v>
      </c>
      <c r="F7" s="9">
        <f>AVERAGE('HHV, EY'!F72,'HHV, EY'!F75)</f>
        <v>0.89958824492888678</v>
      </c>
      <c r="G7">
        <f>STDEV('HHV, EY'!F72,'HHV, EY'!F75)</f>
        <v>7.082767904600394E-3</v>
      </c>
      <c r="H7" s="31">
        <f>AVERAGE('HHV, EY'!B72,'HHV, EY'!B75)</f>
        <v>0.58192421913023928</v>
      </c>
      <c r="I7" s="31">
        <f>STDEV('HHV, EY'!B72,'HHV, EY'!B75)</f>
        <v>1.4480013327946007E-2</v>
      </c>
      <c r="J7">
        <f>AVERAGE('HTC223 ultimate'!F37,'HTC223 ultimate'!F40)</f>
        <v>0.11183951737548189</v>
      </c>
      <c r="K7">
        <f>STDEV('HTC223 ultimate'!F37,'HTC223 ultimate'!F40)</f>
        <v>3.8663661081561477E-3</v>
      </c>
      <c r="L7">
        <f>AVERAGE('HTC223 ultimate'!H37,'HTC223 ultimate'!H40)</f>
        <v>0.31382425821043114</v>
      </c>
      <c r="M7">
        <f>STDEV('HTC223 ultimate'!H37,'HTC223 ultimate'!H40)</f>
        <v>8.4972335333913882E-3</v>
      </c>
    </row>
    <row r="8" spans="1:13" x14ac:dyDescent="0.2">
      <c r="A8" t="s">
        <v>113</v>
      </c>
      <c r="B8" s="9">
        <f>'HHV, EY'!K14</f>
        <v>26.510140348749999</v>
      </c>
      <c r="C8" s="9">
        <f>'HHV, EY'!L14</f>
        <v>0.41276303348447202</v>
      </c>
      <c r="D8">
        <f>AVERAGE('HTC223 ultimate'!G38,'HTC223 ultimate'!G41)</f>
        <v>5.5156031265961435E-2</v>
      </c>
      <c r="E8">
        <f>STDEV('HTC223 ultimate'!G38,'HTC223 ultimate'!G41)</f>
        <v>2.7274187275159382E-3</v>
      </c>
      <c r="F8" s="9">
        <f>AVERAGE('HHV, EY'!F73,'HHV, EY'!F76)</f>
        <v>0.47636303641798644</v>
      </c>
      <c r="G8">
        <f>STDEV('HHV, EY'!F73,'HHV, EY'!F76)</f>
        <v>1.6071131768251767E-2</v>
      </c>
      <c r="H8" s="31">
        <f>AVERAGE('HHV, EY'!B73,'HHV, EY'!B76)</f>
        <v>0.36436570675701052</v>
      </c>
      <c r="I8" s="31">
        <f>STDEV('HHV, EY'!B73,'HHV, EY'!B76)</f>
        <v>6.6212238592196953E-3</v>
      </c>
      <c r="J8">
        <f>AVERAGE('HTC223 ultimate'!F38,'HTC223 ultimate'!F41)</f>
        <v>8.8798833937761404E-2</v>
      </c>
      <c r="K8">
        <f>STDEV('HTC223 ultimate'!F38,'HTC223 ultimate'!F41)</f>
        <v>4.8292039531303808E-3</v>
      </c>
      <c r="L8">
        <f>AVERAGE('HTC223 ultimate'!H38,'HTC223 ultimate'!H41)</f>
        <v>0.42639969147267692</v>
      </c>
      <c r="M8">
        <f>STDEV('HTC223 ultimate'!H38,'HTC223 ultimate'!H41)</f>
        <v>1.0520966595561695E-2</v>
      </c>
    </row>
    <row r="9" spans="1:13" x14ac:dyDescent="0.2">
      <c r="A9" t="s">
        <v>114</v>
      </c>
      <c r="B9" s="9">
        <f>'HHV, EY'!K15</f>
        <v>42.72924455937499</v>
      </c>
      <c r="C9" s="9">
        <f>'HHV, EY'!L15</f>
        <v>9.14199115252846E-2</v>
      </c>
      <c r="D9">
        <f>AVERAGE('HTC223 ultimate'!G39,'HTC223 ultimate'!G42)</f>
        <v>9.9644794781289757E-3</v>
      </c>
      <c r="E9">
        <f>STDEV('HTC223 ultimate'!G39,'HTC223 ultimate'!G42)</f>
        <v>2.1317889632896294E-4</v>
      </c>
      <c r="F9" s="9">
        <f>AVERAGE('HHV, EY'!F74,'HHV, EY'!F77)</f>
        <v>0.65091972578576707</v>
      </c>
      <c r="G9">
        <f>STDEV('HHV, EY'!F74,'HHV, EY'!F77)</f>
        <v>2.6816669360827574E-2</v>
      </c>
      <c r="H9" s="31">
        <f>AVERAGE('HHV, EY'!B74,'HHV, EY'!B77)</f>
        <v>0.30892778718866143</v>
      </c>
      <c r="I9" s="31">
        <f>STDEV('HHV, EY'!B74,'HHV, EY'!B77)</f>
        <v>1.2066820031545286E-2</v>
      </c>
      <c r="J9">
        <f>AVERAGE('HTC223 ultimate'!F39,'HTC223 ultimate'!F42)</f>
        <v>0.16347465095292041</v>
      </c>
      <c r="K9">
        <f>STDEV('HTC223 ultimate'!F39,'HTC223 ultimate'!F42)</f>
        <v>1.0089734110215953E-3</v>
      </c>
      <c r="L9">
        <f>AVERAGE('HTC223 ultimate'!H39,'HTC223 ultimate'!H42)</f>
        <v>0.1640442788177835</v>
      </c>
      <c r="M9">
        <f>STDEV('HTC223 ultimate'!H39,'HTC223 ultimate'!H42)</f>
        <v>2.0033750279638655E-3</v>
      </c>
    </row>
    <row r="10" spans="1:13" x14ac:dyDescent="0.2">
      <c r="A10" t="s">
        <v>107</v>
      </c>
      <c r="B10" s="9">
        <f>'HHV, EY'!K19</f>
        <v>33.064131986874997</v>
      </c>
      <c r="C10" s="9">
        <f>'HHV, EY'!L19</f>
        <v>1.8014946904305549</v>
      </c>
      <c r="D10">
        <f>AVERAGE('HTC223 ultimate'!G49,'HTC223 ultimate'!G52)</f>
        <v>3.2033931548145281E-3</v>
      </c>
      <c r="E10">
        <f>STDEV('HTC223 ultimate'!G49,'HTC223 ultimate'!G52)</f>
        <v>5.2720983347012381E-4</v>
      </c>
      <c r="F10" s="9">
        <f>AVERAGE('HHV, EY'!F78,'HHV, EY'!F81)</f>
        <v>0.65216206087325146</v>
      </c>
      <c r="G10">
        <f>STDEV('HHV, EY'!F78,'HHV, EY'!F81)</f>
        <v>2.0827806250002395E-2</v>
      </c>
      <c r="H10" s="31">
        <f>AVERAGE('HHV, EY'!B78,'HHV, EY'!B81)</f>
        <v>0.4009535781469129</v>
      </c>
      <c r="I10" s="31">
        <f>STDEV('HHV, EY'!B78,'HHV, EY'!B81)</f>
        <v>3.46208534712047E-2</v>
      </c>
      <c r="J10">
        <f>AVERAGE('HTC223 ultimate'!F49,'HTC223 ultimate'!F52)</f>
        <v>0.11782724729255556</v>
      </c>
      <c r="K10">
        <f>STDEV('HTC223 ultimate'!F49,'HTC223 ultimate'!F52)</f>
        <v>3.6360021087188852E-3</v>
      </c>
      <c r="L10">
        <f>AVERAGE('HTC223 ultimate'!H49,'HTC223 ultimate'!H52)</f>
        <v>0.30597720345935731</v>
      </c>
      <c r="M10">
        <f>STDEV('HTC223 ultimate'!H49,'HTC223 ultimate'!H52)</f>
        <v>3.8926909928669644E-2</v>
      </c>
    </row>
    <row r="11" spans="1:13" x14ac:dyDescent="0.2">
      <c r="A11" t="s">
        <v>115</v>
      </c>
      <c r="B11" s="9">
        <f>'HHV, EY'!K20</f>
        <v>22.299994524374998</v>
      </c>
      <c r="C11" s="9">
        <f>'HHV, EY'!L20</f>
        <v>0.45032210706659204</v>
      </c>
      <c r="D11">
        <f>AVERAGE('HTC223 ultimate'!G50,'HTC223 ultimate'!G53)</f>
        <v>5.3227740335838308E-3</v>
      </c>
      <c r="E11">
        <f>STDEV('HTC223 ultimate'!G50,'HTC223 ultimate'!G53)</f>
        <v>2.3307855786102867E-4</v>
      </c>
      <c r="F11" s="9">
        <f>AVERAGE('HHV, EY'!F79,'HHV, EY'!F82)</f>
        <v>0.28753978149791282</v>
      </c>
      <c r="G11">
        <f>STDEV('HHV, EY'!F79,'HHV, EY'!F82)</f>
        <v>6.4651338538824543E-2</v>
      </c>
      <c r="H11" s="31">
        <f>AVERAGE('HHV, EY'!B79,'HHV, EY'!B82)</f>
        <v>0.26095617529880438</v>
      </c>
      <c r="I11" s="31">
        <f>STDEV('HHV, EY'!B79,'HHV, EY'!B82)</f>
        <v>5.3526011324879531E-2</v>
      </c>
      <c r="J11">
        <f>AVERAGE('HTC223 ultimate'!F50,'HTC223 ultimate'!F53)</f>
        <v>0.11538328357959636</v>
      </c>
      <c r="K11">
        <f>STDEV('HTC223 ultimate'!F50,'HTC223 ultimate'!F53)</f>
        <v>1.7303099203939856E-3</v>
      </c>
      <c r="L11">
        <f>AVERAGE('HTC223 ultimate'!H50,'HTC223 ultimate'!H53)</f>
        <v>0.69996286740217295</v>
      </c>
      <c r="M11">
        <f>STDEV('HTC223 ultimate'!H50,'HTC223 ultimate'!H53)</f>
        <v>2.8852607246856798E-2</v>
      </c>
    </row>
    <row r="12" spans="1:13" x14ac:dyDescent="0.2">
      <c r="A12" t="s">
        <v>116</v>
      </c>
      <c r="B12" s="9">
        <f>'HHV, EY'!K21</f>
        <v>38.689571354375005</v>
      </c>
      <c r="C12" s="9">
        <f>'HHV, EY'!L21</f>
        <v>2.0173985773142542</v>
      </c>
      <c r="D12">
        <f>AVERAGE('HTC223 ultimate'!G51,'HTC223 ultimate'!G54)</f>
        <v>1.6076405710912047E-3</v>
      </c>
      <c r="E12">
        <f>STDEV('HTC223 ultimate'!G51,'HTC223 ultimate'!G54)</f>
        <v>3.5401732318722544E-4</v>
      </c>
      <c r="F12" s="9">
        <f>AVERAGE('HHV, EY'!F80,'HHV, EY'!F83)</f>
        <v>0.73949913041860571</v>
      </c>
      <c r="G12">
        <f>STDEV('HHV, EY'!F80,'HHV, EY'!F83)</f>
        <v>0.12443381751576289</v>
      </c>
      <c r="H12" s="31">
        <f>AVERAGE('HHV, EY'!B80,'HHV, EY'!B83)</f>
        <v>0.38645418326693748</v>
      </c>
      <c r="I12" s="31">
        <f>STDEV('HHV, EY'!B80,'HHV, EY'!B83)</f>
        <v>4.5074535852523939E-2</v>
      </c>
      <c r="J12">
        <f>AVERAGE('HTC223 ultimate'!F51,'HTC223 ultimate'!F54)</f>
        <v>0.14440695380756891</v>
      </c>
      <c r="K12">
        <f>STDEV('HTC223 ultimate'!F51,'HTC223 ultimate'!F54)</f>
        <v>1.1436897743478504E-2</v>
      </c>
      <c r="L12">
        <f>AVERAGE('HTC223 ultimate'!H51,'HTC223 ultimate'!H54)</f>
        <v>0.22077819251215919</v>
      </c>
      <c r="M12">
        <f>STDEV('HTC223 ultimate'!H51,'HTC223 ultimate'!H54)</f>
        <v>2.4490000723823235E-2</v>
      </c>
    </row>
    <row r="13" spans="1:13" x14ac:dyDescent="0.2">
      <c r="A13" t="s">
        <v>106</v>
      </c>
      <c r="B13" s="9">
        <f>'HHV, EY'!K25</f>
        <v>26.860162353749999</v>
      </c>
      <c r="C13" s="9">
        <f>'HHV, EY'!L25</f>
        <v>0.18234352778180832</v>
      </c>
      <c r="D13">
        <f>AVERAGE('HTC223 ultimate'!G43,'HTC223 ultimate'!G46)</f>
        <v>3.1083511316877387E-2</v>
      </c>
      <c r="E13">
        <f>STDEV('HTC223 ultimate'!G43,'HTC223 ultimate'!G46)</f>
        <v>1.5218811102569326E-3</v>
      </c>
      <c r="F13" s="9">
        <f>AVERAGE('HHV, EY'!F84,'HHV, EY'!F87)</f>
        <v>0.88686637730170825</v>
      </c>
      <c r="G13">
        <f>STDEV('HHV, EY'!F84,'HHV, EY'!F87)</f>
        <v>1.471452096807757E-4</v>
      </c>
      <c r="H13" s="31">
        <f>AVERAGE('HHV, EY'!B84,'HHV, EY'!B87)</f>
        <v>0.66962662163220932</v>
      </c>
      <c r="I13" s="31">
        <f>STDEV('HHV, EY'!B84,'HHV, EY'!B87)</f>
        <v>4.6569420434878685E-3</v>
      </c>
      <c r="J13">
        <f>AVERAGE('HTC223 ultimate'!F43,'HTC223 ultimate'!F46)</f>
        <v>0.13015893482641983</v>
      </c>
      <c r="K13">
        <f>STDEV('HTC223 ultimate'!F43,'HTC223 ultimate'!F46)</f>
        <v>2.8424242355427356E-4</v>
      </c>
      <c r="L13">
        <f>AVERAGE('HTC223 ultimate'!H43,'HTC223 ultimate'!H46)</f>
        <v>0.4832375438162072</v>
      </c>
      <c r="M13">
        <f>STDEV('HTC223 ultimate'!H43,'HTC223 ultimate'!H46)</f>
        <v>5.4551426543445365E-3</v>
      </c>
    </row>
    <row r="14" spans="1:13" x14ac:dyDescent="0.2">
      <c r="A14" t="s">
        <v>117</v>
      </c>
      <c r="B14" s="9">
        <f>'HHV, EY'!K26</f>
        <v>25.54712688875</v>
      </c>
      <c r="C14" s="9">
        <f>'HHV, EY'!L26</f>
        <v>1.3483614290901065</v>
      </c>
      <c r="D14">
        <f>AVERAGE('HTC223 ultimate'!G44,'HTC223 ultimate'!G47)</f>
        <v>3.3794458219453774E-2</v>
      </c>
      <c r="E14">
        <f>STDEV('HTC223 ultimate'!G44,'HTC223 ultimate'!G47)</f>
        <v>3.820159778488018E-3</v>
      </c>
      <c r="F14" s="9">
        <f>AVERAGE('HHV, EY'!F85,'HHV, EY'!F88)</f>
        <v>0.29986809344058574</v>
      </c>
      <c r="G14">
        <f>STDEV('HHV, EY'!F85,'HHV, EY'!F88)</f>
        <v>6.3381676498886416E-2</v>
      </c>
      <c r="H14" s="31">
        <f>AVERAGE('HHV, EY'!B85,'HHV, EY'!B88)</f>
        <v>0.23704849393825705</v>
      </c>
      <c r="I14" s="31">
        <f>STDEV('HHV, EY'!B85,'HHV, EY'!B88)</f>
        <v>3.7803390282782214E-2</v>
      </c>
      <c r="J14">
        <f>AVERAGE('HTC223 ultimate'!F44,'HTC223 ultimate'!F47)</f>
        <v>0.12425255505937194</v>
      </c>
      <c r="K14">
        <f>STDEV('HTC223 ultimate'!F44,'HTC223 ultimate'!F47)</f>
        <v>6.4426714983272036E-4</v>
      </c>
      <c r="L14">
        <f>AVERAGE('HTC223 ultimate'!H44,'HTC223 ultimate'!H47)</f>
        <v>0.52935181170683598</v>
      </c>
      <c r="M14">
        <f>STDEV('HTC223 ultimate'!H44,'HTC223 ultimate'!H47)</f>
        <v>5.5294735307586905E-2</v>
      </c>
    </row>
    <row r="15" spans="1:13" x14ac:dyDescent="0.2">
      <c r="A15" t="s">
        <v>118</v>
      </c>
      <c r="B15" s="9">
        <f>'HHV, EY'!K27</f>
        <v>37.781397646875007</v>
      </c>
      <c r="C15" s="9">
        <f>'HHV, EY'!L27</f>
        <v>2.0403805288134693</v>
      </c>
      <c r="D15">
        <f>AVERAGE('HTC223 ultimate'!G45,'HTC223 ultimate'!G48)</f>
        <v>1.3001106622949921E-2</v>
      </c>
      <c r="E15">
        <f>STDEV('HTC223 ultimate'!G45,'HTC223 ultimate'!G48)</f>
        <v>3.3880095295974934E-3</v>
      </c>
      <c r="F15" s="9">
        <f>AVERAGE('HHV, EY'!F86,'HHV, EY'!F89)</f>
        <v>0.51874813005917864</v>
      </c>
      <c r="G15">
        <f>STDEV('HHV, EY'!F86,'HHV, EY'!F89)</f>
        <v>1.5314739922494372E-2</v>
      </c>
      <c r="H15" s="31">
        <f>AVERAGE('HHV, EY'!B86,'HHV, EY'!B89)</f>
        <v>0.27863704536933231</v>
      </c>
      <c r="I15" s="31">
        <f>STDEV('HHV, EY'!B86,'HHV, EY'!B89)</f>
        <v>6.8271464625350468E-3</v>
      </c>
      <c r="J15">
        <f>AVERAGE('HTC223 ultimate'!F45,'HTC223 ultimate'!F48)</f>
        <v>0.16359518841711806</v>
      </c>
      <c r="K15">
        <f>STDEV('HTC223 ultimate'!F45,'HTC223 ultimate'!F48)</f>
        <v>8.0188141172454243E-3</v>
      </c>
      <c r="L15">
        <f>AVERAGE('HTC223 ultimate'!H45,'HTC223 ultimate'!H48)</f>
        <v>0.24522576136001573</v>
      </c>
      <c r="M15">
        <f>STDEV('HTC223 ultimate'!H45,'HTC223 ultimate'!H48)</f>
        <v>2.8856829111047897E-2</v>
      </c>
    </row>
    <row r="16" spans="1:13" x14ac:dyDescent="0.2">
      <c r="A16" s="29" t="s">
        <v>132</v>
      </c>
      <c r="B16" s="9"/>
      <c r="C16" s="9"/>
      <c r="J16" s="4">
        <f>'PE ultimate'!G19</f>
        <v>0.1406076022283401</v>
      </c>
      <c r="K16">
        <f>STDEV('PE ultimate'!P3:P4)</f>
        <v>2.6318200092618925E-3</v>
      </c>
      <c r="L16">
        <f>'PE ultimate'!I19</f>
        <v>0.70138691689579935</v>
      </c>
      <c r="M16">
        <f>STDEV('PE ultimate'!R3:R4)</f>
        <v>7.0051046119326268E-3</v>
      </c>
    </row>
    <row r="17" spans="1:13" x14ac:dyDescent="0.2">
      <c r="A17" s="29" t="s">
        <v>133</v>
      </c>
      <c r="B17" s="9"/>
      <c r="C17" s="9"/>
      <c r="I17" s="31"/>
      <c r="J17" s="4">
        <f>'PE ultimate'!G20</f>
        <v>0.14587468208414667</v>
      </c>
      <c r="K17">
        <f>STDEV('PE ultimate'!P5:P6)</f>
        <v>1.5681090198587742E-2</v>
      </c>
      <c r="L17">
        <f>'PE ultimate'!I20</f>
        <v>0.85457257609482795</v>
      </c>
      <c r="M17">
        <f>STDEV('PE ultimate'!R5:R6)</f>
        <v>0.35750359548246508</v>
      </c>
    </row>
    <row r="18" spans="1:13" x14ac:dyDescent="0.2">
      <c r="A18" s="4" t="s">
        <v>141</v>
      </c>
      <c r="B18" s="9"/>
      <c r="C18" s="9"/>
      <c r="I18" s="31"/>
      <c r="J18" s="8">
        <f>'SWE_178 ultimate'!Q76</f>
        <v>0.13472745033223463</v>
      </c>
      <c r="K18" s="8">
        <f>STDEV('SWE_178 ultimate'!Q2:Q30)</f>
        <v>1.8635332874410573E-2</v>
      </c>
      <c r="L18">
        <f>'SWE_178 ultimate'!S76</f>
        <v>0.61423255427472445</v>
      </c>
      <c r="M18">
        <f>STDEV('SWE_178 ultimate'!S2:S30)</f>
        <v>0.19313446722353592</v>
      </c>
    </row>
    <row r="23" spans="1:13" x14ac:dyDescent="0.2">
      <c r="A23" t="s">
        <v>0</v>
      </c>
      <c r="B23" t="s">
        <v>242</v>
      </c>
      <c r="C23" t="s">
        <v>259</v>
      </c>
      <c r="D23" t="s">
        <v>10</v>
      </c>
      <c r="E23" t="s">
        <v>243</v>
      </c>
      <c r="F23" t="s">
        <v>244</v>
      </c>
      <c r="G23" t="s">
        <v>262</v>
      </c>
    </row>
    <row r="24" spans="1:13" x14ac:dyDescent="0.2">
      <c r="A24" t="s">
        <v>14</v>
      </c>
      <c r="B24" s="9">
        <f>'HHV, EY'!M5</f>
        <v>21.756508520624362</v>
      </c>
      <c r="C24" s="9">
        <f>_xlfn.CONFIDENCE.T(0.05, C3, 4)</f>
        <v>9.9468692048788943E-2</v>
      </c>
      <c r="D24">
        <f>D3</f>
        <v>4.8062329252251339E-2</v>
      </c>
      <c r="E24">
        <f>E3</f>
        <v>0</v>
      </c>
      <c r="F24">
        <v>0</v>
      </c>
    </row>
    <row r="25" spans="1:13" x14ac:dyDescent="0.2">
      <c r="A25" t="s">
        <v>110</v>
      </c>
      <c r="B25" s="9">
        <f>'HHV, EY'!M7</f>
        <v>31.310401125175986</v>
      </c>
      <c r="C25" s="9">
        <f>_xlfn.CONFIDENCE.T(0.05, C4, 4)</f>
        <v>0.14224964669452611</v>
      </c>
      <c r="D25">
        <f>D4</f>
        <v>4.3539020805185152E-2</v>
      </c>
      <c r="E25">
        <f>E4</f>
        <v>1.9866863915187598E-3</v>
      </c>
      <c r="F25" s="9">
        <f>AVERAGE('HHV, EY'!K66,'HHV, EY'!K69)</f>
        <v>0.57321866833307733</v>
      </c>
      <c r="G25">
        <f>STDEV('HHV, EY'!K66,'HHV, EY'!K69)/SQRT(2)</f>
        <v>3.4898927465639995E-2</v>
      </c>
    </row>
    <row r="26" spans="1:13" x14ac:dyDescent="0.2">
      <c r="A26" t="s">
        <v>111</v>
      </c>
      <c r="B26" s="9">
        <f>'HHV, EY'!M8</f>
        <v>28.951298853708931</v>
      </c>
      <c r="C26" s="30">
        <f>_xlfn.CONFIDENCE.T(0.05, C5, 4)</f>
        <v>0.18808685865618052</v>
      </c>
      <c r="D26" s="1">
        <f>D5</f>
        <v>5.7821334338484728E-2</v>
      </c>
      <c r="E26" s="1">
        <f>E5</f>
        <v>5.833299710075329E-4</v>
      </c>
      <c r="F26" s="9">
        <f>AVERAGE('HHV, EY'!K67,'HHV, EY'!K70)</f>
        <v>0.58569188896390845</v>
      </c>
      <c r="G26" s="1">
        <f>STDEV('HHV, EY'!K67,'HHV, EY'!K70)/SQRT(2)</f>
        <v>5.1739870510102814E-2</v>
      </c>
    </row>
    <row r="27" spans="1:13" x14ac:dyDescent="0.2">
      <c r="A27" t="s">
        <v>112</v>
      </c>
      <c r="B27" s="9">
        <f>'HHV, EY'!M9</f>
        <v>40.695948593749989</v>
      </c>
      <c r="C27" s="9">
        <f>_xlfn.CONFIDENCE.T(0.05, C6, 4)</f>
        <v>1.2594389655479754</v>
      </c>
      <c r="D27">
        <f>D6</f>
        <v>1.9116683021098552E-2</v>
      </c>
      <c r="E27">
        <f>E6</f>
        <v>3.2812651851528737E-3</v>
      </c>
      <c r="F27" s="9">
        <f>AVERAGE('HHV, EY'!K68,'HHV, EY'!K71)</f>
        <v>0.55800749575710573</v>
      </c>
      <c r="G27">
        <f>STDEV('HHV, EY'!K68,'HHV, EY'!K71)/SQRT(2)</f>
        <v>2.6480380497607255E-2</v>
      </c>
    </row>
    <row r="28" spans="1:13" x14ac:dyDescent="0.2">
      <c r="A28" t="s">
        <v>105</v>
      </c>
      <c r="B28" s="9">
        <f>'HHV, EY'!M13</f>
        <v>31.777653796945625</v>
      </c>
      <c r="C28" s="9">
        <f>_xlfn.CONFIDENCE.T(0.05, C7, 4)</f>
        <v>0.84881103762795151</v>
      </c>
      <c r="D28">
        <f>D7</f>
        <v>3.7832975964796657E-2</v>
      </c>
      <c r="E28">
        <f>E7</f>
        <v>9.7273182236321855E-4</v>
      </c>
      <c r="F28" s="9">
        <f>AVERAGE('HHV, EY'!K72,'HHV, EY'!K75)</f>
        <v>0.79980753046822661</v>
      </c>
      <c r="G28">
        <f>STDEV('HHV, EY'!K72,'HHV, EY'!K75)/SQRT(2)</f>
        <v>1.6694589168299578E-3</v>
      </c>
    </row>
    <row r="29" spans="1:13" x14ac:dyDescent="0.2">
      <c r="A29" t="s">
        <v>113</v>
      </c>
      <c r="B29" s="9">
        <f>'HHV, EY'!M14</f>
        <v>27.989379030512588</v>
      </c>
      <c r="C29" s="9">
        <f>_xlfn.CONFIDENCE.T(0.05, C8, 4)</f>
        <v>0.65679809543517698</v>
      </c>
      <c r="D29">
        <f>D8</f>
        <v>5.5156031265961435E-2</v>
      </c>
      <c r="E29">
        <f>E8</f>
        <v>2.7274187275159382E-3</v>
      </c>
      <c r="F29" s="9">
        <f>AVERAGE('HHV, EY'!K73,'HHV, EY'!K76)</f>
        <v>0.48897158889789927</v>
      </c>
      <c r="G29">
        <f>STDEV('HHV, EY'!K73,'HHV, EY'!K76)/SQRT(2)</f>
        <v>1.2267508116136527E-2</v>
      </c>
    </row>
    <row r="30" spans="1:13" x14ac:dyDescent="0.2">
      <c r="A30" t="s">
        <v>114</v>
      </c>
      <c r="B30" s="9">
        <f>'HHV, EY'!M15</f>
        <v>42.72924455937499</v>
      </c>
      <c r="C30" s="9">
        <f>_xlfn.CONFIDENCE.T(0.05, C9, 4)</f>
        <v>0.14546947983150277</v>
      </c>
      <c r="D30">
        <f>D9</f>
        <v>9.9644794781289757E-3</v>
      </c>
      <c r="E30">
        <f>E9</f>
        <v>2.1317889632896294E-4</v>
      </c>
      <c r="F30" s="9">
        <f>AVERAGE('HHV, EY'!K74,'HHV, EY'!K77)</f>
        <v>0.59970839869690129</v>
      </c>
      <c r="G30">
        <f>STDEV('HHV, EY'!K74,'HHV, EY'!K77)/SQRT(2)</f>
        <v>1.8512947769123267E-2</v>
      </c>
    </row>
    <row r="31" spans="1:13" x14ac:dyDescent="0.2">
      <c r="A31" t="s">
        <v>107</v>
      </c>
      <c r="B31" s="9">
        <f>'HHV, EY'!M19</f>
        <v>33.29721247419436</v>
      </c>
      <c r="C31" s="9">
        <f>_xlfn.CONFIDENCE.T(0.05, C10, 4)</f>
        <v>2.8665800607744694</v>
      </c>
      <c r="D31">
        <f>D10</f>
        <v>3.2033931548145281E-3</v>
      </c>
      <c r="E31">
        <f>E10</f>
        <v>5.2720983347012381E-4</v>
      </c>
      <c r="F31" s="9">
        <f>AVERAGE('HHV, EY'!K78,'HHV, EY'!K81)</f>
        <v>0.58352753929248147</v>
      </c>
      <c r="G31">
        <f>STDEV('HHV, EY'!K78,'HHV, EY'!K81)/SQRT(2)</f>
        <v>1.3932947541482334E-3</v>
      </c>
    </row>
    <row r="32" spans="1:13" x14ac:dyDescent="0.2">
      <c r="A32" t="s">
        <v>115</v>
      </c>
      <c r="B32" s="9">
        <f>B11*'HTC223 ultimate'!M50</f>
        <v>23.081774217108464</v>
      </c>
      <c r="C32" s="9">
        <f>_xlfn.CONFIDENCE.T(0.05, C11, 4)</f>
        <v>0.71656296291082533</v>
      </c>
      <c r="D32">
        <f>D11</f>
        <v>5.3227740335838308E-3</v>
      </c>
      <c r="E32">
        <f>E11</f>
        <v>2.3307855786102867E-4</v>
      </c>
      <c r="F32" s="9">
        <f>AVERAGE('HHV, EY'!K79,'HHV, EY'!K82)</f>
        <v>0.28783603764549504</v>
      </c>
      <c r="G32">
        <f>STDEV('HHV, EY'!K79,'HHV, EY'!K82)/SQRT(2)</f>
        <v>4.6157124832574517E-2</v>
      </c>
    </row>
    <row r="33" spans="1:7" x14ac:dyDescent="0.2">
      <c r="A33" t="s">
        <v>116</v>
      </c>
      <c r="B33" s="9">
        <f>B12*'HTC223 ultimate'!M51</f>
        <v>38.689571354375005</v>
      </c>
      <c r="C33" s="9">
        <f>_xlfn.CONFIDENCE.T(0.05, C12, 4)</f>
        <v>3.2101313243291796</v>
      </c>
      <c r="D33">
        <f>D12</f>
        <v>1.6076405710912047E-3</v>
      </c>
      <c r="E33">
        <f>E12</f>
        <v>3.5401732318722544E-4</v>
      </c>
      <c r="F33" s="9">
        <f>AVERAGE('HHV, EY'!K80,'HHV, EY'!K83)</f>
        <v>0.68616720695739097</v>
      </c>
      <c r="G33">
        <f>STDEV('HHV, EY'!K80,'HHV, EY'!K83)/SQRT(2)</f>
        <v>8.3211928053179812E-2</v>
      </c>
    </row>
    <row r="34" spans="1:7" x14ac:dyDescent="0.2">
      <c r="A34" t="s">
        <v>106</v>
      </c>
      <c r="B34" s="9">
        <f>B13*'HTC223 ultimate'!M52</f>
        <v>26.924242049828589</v>
      </c>
      <c r="C34" s="9">
        <f>_xlfn.CONFIDENCE.T(0.05, C13, 4)</f>
        <v>0.29014924314080665</v>
      </c>
      <c r="D34">
        <f>D13</f>
        <v>3.1083511316877387E-2</v>
      </c>
      <c r="E34">
        <f>E13</f>
        <v>1.5218811102569326E-3</v>
      </c>
      <c r="F34" s="9">
        <f>AVERAGE('HHV, EY'!K84,'HHV, EY'!K87)</f>
        <v>0.80361081587026573</v>
      </c>
      <c r="G34">
        <f>STDEV('HHV, EY'!K84,'HHV, EY'!K87)/SQRT(2)</f>
        <v>2.9339129233012518E-3</v>
      </c>
    </row>
    <row r="35" spans="1:7" x14ac:dyDescent="0.2">
      <c r="A35" t="s">
        <v>117</v>
      </c>
      <c r="B35" s="9">
        <f>B14*'HTC223 ultimate'!M53</f>
        <v>26.486332229612046</v>
      </c>
      <c r="C35" s="9">
        <f>_xlfn.CONFIDENCE.T(0.05, C14, 4)</f>
        <v>2.1455439240974354</v>
      </c>
      <c r="D35">
        <f>D14</f>
        <v>3.3794458219453774E-2</v>
      </c>
      <c r="E35">
        <f>E14</f>
        <v>3.820159778488018E-3</v>
      </c>
      <c r="F35" s="9">
        <f>AVERAGE('HHV, EY'!K85,'HHV, EY'!K88)</f>
        <v>0.28225852813308672</v>
      </c>
      <c r="G35">
        <f>STDEV('HHV, EY'!K85,'HHV, EY'!K88)/SQRT(2)</f>
        <v>4.9092705943865195E-2</v>
      </c>
    </row>
    <row r="36" spans="1:7" x14ac:dyDescent="0.2">
      <c r="A36" t="s">
        <v>118</v>
      </c>
      <c r="B36" s="9">
        <f>B15*'HTC223 ultimate'!M54</f>
        <v>37.781397646875007</v>
      </c>
      <c r="C36" s="9">
        <f>_xlfn.CONFIDENCE.T(0.05, C15, 4)</f>
        <v>3.2467007376476231</v>
      </c>
      <c r="D36">
        <f>D15</f>
        <v>1.3001106622949921E-2</v>
      </c>
      <c r="E36">
        <f>E15</f>
        <v>3.3880095295974934E-3</v>
      </c>
      <c r="F36" s="9">
        <f>AVERAGE('HHV, EY'!K86,'HHV, EY'!K89)</f>
        <v>0.47341789727328282</v>
      </c>
      <c r="G36">
        <f>STDEV('HHV, EY'!K86,'HHV, EY'!K89)/SQRT(2)</f>
        <v>1.0718903144683987E-2</v>
      </c>
    </row>
    <row r="37" spans="1:7" x14ac:dyDescent="0.2">
      <c r="A37" s="29" t="s">
        <v>132</v>
      </c>
      <c r="B37" s="9"/>
      <c r="C37" s="9"/>
    </row>
    <row r="38" spans="1:7" x14ac:dyDescent="0.2">
      <c r="A38" s="29" t="s">
        <v>133</v>
      </c>
      <c r="B38" s="9"/>
      <c r="C38" s="9"/>
    </row>
    <row r="39" spans="1:7" x14ac:dyDescent="0.2">
      <c r="A39" s="4" t="s">
        <v>141</v>
      </c>
      <c r="B39" s="9"/>
      <c r="C39" s="9"/>
    </row>
  </sheetData>
  <pageMargins left="0.7" right="0.7" top="0.75" bottom="0.75" header="0.3" footer="0.3"/>
  <tableParts count="2">
    <tablePart r:id="rId1"/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PE ultimate</vt:lpstr>
      <vt:lpstr>SWE_178 ultimate</vt:lpstr>
      <vt:lpstr>HTC223 ultimate</vt:lpstr>
      <vt:lpstr>HTC223 proximate</vt:lpstr>
      <vt:lpstr>HHV, EY</vt:lpstr>
      <vt:lpstr>Tables for Graphs</vt:lpstr>
    </vt:vector>
  </TitlesOfParts>
  <Company>University of Bath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Jackie Massaya</dc:creator>
  <cp:lastModifiedBy>Jackie Massaya</cp:lastModifiedBy>
  <dcterms:created xsi:type="dcterms:W3CDTF">2019-04-26T11:31:58Z</dcterms:created>
  <dcterms:modified xsi:type="dcterms:W3CDTF">2021-01-12T12:36:09Z</dcterms:modified>
</cp:coreProperties>
</file>