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hem Eng\ResearchProjects\CChuck\EG-CE1152 - Jackie Massaya\Experiments\SCG biorefinery paper\"/>
    </mc:Choice>
  </mc:AlternateContent>
  <xr:revisionPtr revIDLastSave="0" documentId="8_{ADAE8CE3-8146-428D-966D-0033E81303A4}" xr6:coauthVersionLast="45" xr6:coauthVersionMax="45" xr10:uidLastSave="{00000000-0000-0000-0000-000000000000}"/>
  <bookViews>
    <workbookView xWindow="-98" yWindow="-98" windowWidth="25396" windowHeight="13771" xr2:uid="{00000000-000D-0000-FFFF-FFFF00000000}"/>
  </bookViews>
  <sheets>
    <sheet name="CHN" sheetId="1" r:id="rId1"/>
    <sheet name="Sheet1" sheetId="5" r:id="rId2"/>
    <sheet name="Mass balance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5" l="1"/>
  <c r="L4" i="5"/>
  <c r="S30" i="1" l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29" i="1"/>
  <c r="L50" i="1"/>
  <c r="F1" i="5" l="1"/>
  <c r="G1" i="5"/>
  <c r="G72" i="1" l="1"/>
  <c r="E72" i="1"/>
  <c r="D72" i="1"/>
  <c r="G71" i="1"/>
  <c r="E71" i="1"/>
  <c r="D71" i="1"/>
  <c r="G70" i="1"/>
  <c r="E70" i="1"/>
  <c r="D70" i="1"/>
  <c r="G69" i="1"/>
  <c r="E69" i="1"/>
  <c r="D69" i="1"/>
  <c r="G68" i="1"/>
  <c r="E68" i="1"/>
  <c r="D68" i="1"/>
  <c r="G67" i="1"/>
  <c r="E67" i="1"/>
  <c r="D67" i="1"/>
  <c r="G66" i="1"/>
  <c r="E66" i="1"/>
  <c r="D66" i="1"/>
  <c r="G65" i="1"/>
  <c r="E65" i="1"/>
  <c r="D65" i="1"/>
  <c r="G64" i="1"/>
  <c r="E64" i="1"/>
  <c r="D64" i="1"/>
  <c r="G63" i="1"/>
  <c r="E63" i="1"/>
  <c r="D63" i="1"/>
  <c r="G62" i="1"/>
  <c r="E62" i="1"/>
  <c r="D62" i="1"/>
  <c r="G61" i="1"/>
  <c r="E61" i="1"/>
  <c r="D61" i="1"/>
  <c r="G60" i="1"/>
  <c r="E60" i="1"/>
  <c r="D60" i="1"/>
  <c r="G59" i="1"/>
  <c r="E59" i="1"/>
  <c r="D59" i="1"/>
  <c r="G58" i="1"/>
  <c r="E58" i="1"/>
  <c r="D58" i="1"/>
  <c r="G57" i="1"/>
  <c r="E57" i="1"/>
  <c r="D57" i="1"/>
  <c r="G56" i="1"/>
  <c r="E56" i="1"/>
  <c r="D56" i="1"/>
  <c r="G55" i="1"/>
  <c r="E55" i="1"/>
  <c r="D55" i="1"/>
  <c r="G54" i="1"/>
  <c r="E54" i="1"/>
  <c r="D54" i="1"/>
  <c r="G53" i="1"/>
  <c r="E53" i="1"/>
  <c r="D53" i="1"/>
  <c r="G49" i="1"/>
  <c r="F49" i="1"/>
  <c r="E49" i="1"/>
  <c r="D49" i="1"/>
  <c r="C49" i="1"/>
  <c r="B49" i="1"/>
  <c r="B48" i="1"/>
  <c r="B47" i="1"/>
  <c r="D46" i="1"/>
  <c r="B46" i="1"/>
  <c r="B45" i="1"/>
  <c r="B44" i="1"/>
  <c r="B43" i="1"/>
  <c r="B42" i="1"/>
  <c r="B41" i="1"/>
  <c r="B40" i="1"/>
  <c r="B39" i="1"/>
  <c r="B38" i="1"/>
  <c r="B37" i="1"/>
  <c r="B36" i="1"/>
  <c r="B35" i="1"/>
  <c r="G34" i="1"/>
  <c r="B34" i="1"/>
  <c r="B33" i="1"/>
  <c r="B32" i="1"/>
  <c r="B31" i="1"/>
  <c r="B30" i="1"/>
  <c r="B29" i="1"/>
  <c r="AD24" i="1"/>
  <c r="O24" i="1"/>
  <c r="K24" i="1"/>
  <c r="G24" i="1"/>
  <c r="T24" i="1" s="1"/>
  <c r="D73" i="1" s="1"/>
  <c r="R23" i="1"/>
  <c r="O23" i="1"/>
  <c r="K23" i="1"/>
  <c r="G23" i="1"/>
  <c r="O22" i="1"/>
  <c r="K22" i="1"/>
  <c r="G22" i="1"/>
  <c r="F2" i="5"/>
  <c r="O21" i="1"/>
  <c r="K21" i="1"/>
  <c r="G21" i="1"/>
  <c r="F5" i="5"/>
  <c r="T20" i="1"/>
  <c r="O20" i="1"/>
  <c r="K20" i="1"/>
  <c r="G20" i="1"/>
  <c r="F18" i="5"/>
  <c r="O19" i="1"/>
  <c r="K19" i="1"/>
  <c r="G19" i="1"/>
  <c r="O18" i="1"/>
  <c r="K18" i="1"/>
  <c r="G18" i="1"/>
  <c r="F21" i="5"/>
  <c r="V17" i="1"/>
  <c r="R17" i="1"/>
  <c r="O17" i="1"/>
  <c r="K17" i="1"/>
  <c r="G17" i="1"/>
  <c r="D42" i="1" s="1"/>
  <c r="U16" i="1"/>
  <c r="O16" i="1"/>
  <c r="K16" i="1"/>
  <c r="G16" i="1"/>
  <c r="F7" i="5"/>
  <c r="O15" i="1"/>
  <c r="K15" i="1"/>
  <c r="G15" i="1"/>
  <c r="T15" i="1" s="1"/>
  <c r="F14" i="5"/>
  <c r="R14" i="1"/>
  <c r="O14" i="1"/>
  <c r="K14" i="1"/>
  <c r="G14" i="1"/>
  <c r="F3" i="5"/>
  <c r="O13" i="1"/>
  <c r="K13" i="1"/>
  <c r="G13" i="1"/>
  <c r="F38" i="1" s="1"/>
  <c r="O12" i="1"/>
  <c r="K12" i="1"/>
  <c r="G12" i="1"/>
  <c r="F11" i="5"/>
  <c r="V11" i="1"/>
  <c r="O11" i="1"/>
  <c r="G36" i="1" s="1"/>
  <c r="K11" i="1"/>
  <c r="G11" i="1"/>
  <c r="F19" i="5"/>
  <c r="O10" i="1"/>
  <c r="K10" i="1"/>
  <c r="G10" i="1"/>
  <c r="F12" i="5"/>
  <c r="O9" i="1"/>
  <c r="K9" i="1"/>
  <c r="G9" i="1"/>
  <c r="O8" i="1"/>
  <c r="K8" i="1"/>
  <c r="G8" i="1"/>
  <c r="R8" i="1" s="1"/>
  <c r="F6" i="5"/>
  <c r="O7" i="1"/>
  <c r="K7" i="1"/>
  <c r="G7" i="1"/>
  <c r="F20" i="5"/>
  <c r="O6" i="1"/>
  <c r="K6" i="1"/>
  <c r="G6" i="1"/>
  <c r="F8" i="5"/>
  <c r="O5" i="1"/>
  <c r="K5" i="1"/>
  <c r="G5" i="1"/>
  <c r="O4" i="1"/>
  <c r="K4" i="1"/>
  <c r="G4" i="1"/>
  <c r="AH3" i="1"/>
  <c r="Y1" i="1"/>
  <c r="N31" i="1" l="1"/>
  <c r="U31" i="1" s="1"/>
  <c r="C11" i="4"/>
  <c r="M38" i="1"/>
  <c r="R38" i="1" s="1"/>
  <c r="B12" i="4"/>
  <c r="N41" i="1"/>
  <c r="U41" i="1" s="1"/>
  <c r="C10" i="4"/>
  <c r="D10" i="4" s="1"/>
  <c r="M47" i="1"/>
  <c r="R47" i="1" s="1"/>
  <c r="B8" i="4"/>
  <c r="L30" i="1"/>
  <c r="Q30" i="1" s="1"/>
  <c r="P30" i="1"/>
  <c r="T30" i="1"/>
  <c r="W30" i="1" s="1"/>
  <c r="X30" i="1" s="1"/>
  <c r="I3" i="5" s="1"/>
  <c r="A16" i="4"/>
  <c r="N38" i="1"/>
  <c r="U38" i="1" s="1"/>
  <c r="C12" i="4"/>
  <c r="D12" i="4" s="1"/>
  <c r="N47" i="1"/>
  <c r="U47" i="1" s="1"/>
  <c r="C8" i="4"/>
  <c r="V16" i="1"/>
  <c r="L46" i="1"/>
  <c r="Q46" i="1" s="1"/>
  <c r="T46" i="1"/>
  <c r="W46" i="1" s="1"/>
  <c r="X46" i="1" s="1"/>
  <c r="I19" i="5" s="1"/>
  <c r="P46" i="1"/>
  <c r="A9" i="4"/>
  <c r="F9" i="5"/>
  <c r="G50" i="1"/>
  <c r="N49" i="1"/>
  <c r="U49" i="1" s="1"/>
  <c r="D40" i="1"/>
  <c r="E50" i="1"/>
  <c r="M49" i="1"/>
  <c r="R49" i="1" s="1"/>
  <c r="P32" i="1"/>
  <c r="L32" i="1"/>
  <c r="Q32" i="1" s="1"/>
  <c r="T32" i="1"/>
  <c r="A19" i="4"/>
  <c r="E19" i="4" s="1"/>
  <c r="N30" i="1"/>
  <c r="U30" i="1" s="1"/>
  <c r="C16" i="4"/>
  <c r="D16" i="4" s="1"/>
  <c r="M32" i="1"/>
  <c r="R32" i="1" s="1"/>
  <c r="B19" i="4"/>
  <c r="L34" i="1"/>
  <c r="Q34" i="1" s="1"/>
  <c r="P34" i="1"/>
  <c r="T34" i="1"/>
  <c r="A6" i="4"/>
  <c r="T37" i="1"/>
  <c r="P37" i="1"/>
  <c r="L37" i="1"/>
  <c r="Q37" i="1" s="1"/>
  <c r="A15" i="4"/>
  <c r="L39" i="1"/>
  <c r="Q39" i="1" s="1"/>
  <c r="P39" i="1"/>
  <c r="T39" i="1"/>
  <c r="A4" i="4"/>
  <c r="F10" i="5"/>
  <c r="L43" i="1"/>
  <c r="Q43" i="1" s="1"/>
  <c r="T43" i="1"/>
  <c r="P43" i="1"/>
  <c r="A13" i="4"/>
  <c r="U21" i="1"/>
  <c r="M46" i="1"/>
  <c r="R46" i="1" s="1"/>
  <c r="B9" i="4"/>
  <c r="L48" i="1"/>
  <c r="Q48" i="1" s="1"/>
  <c r="P48" i="1"/>
  <c r="T48" i="1"/>
  <c r="A18" i="4"/>
  <c r="F32" i="1"/>
  <c r="F37" i="1"/>
  <c r="D48" i="1"/>
  <c r="N33" i="1"/>
  <c r="U33" i="1" s="1"/>
  <c r="C3" i="4"/>
  <c r="L40" i="1"/>
  <c r="Q40" i="1" s="1"/>
  <c r="P40" i="1"/>
  <c r="T40" i="1"/>
  <c r="A14" i="4"/>
  <c r="E14" i="4" s="1"/>
  <c r="L44" i="1"/>
  <c r="Q44" i="1" s="1"/>
  <c r="T44" i="1"/>
  <c r="P44" i="1"/>
  <c r="A2" i="4"/>
  <c r="U10" i="1"/>
  <c r="M35" i="1"/>
  <c r="R35" i="1" s="1"/>
  <c r="B7" i="4"/>
  <c r="M40" i="1"/>
  <c r="R40" i="1" s="1"/>
  <c r="B14" i="4"/>
  <c r="M44" i="1"/>
  <c r="R44" i="1" s="1"/>
  <c r="B2" i="4"/>
  <c r="M30" i="1"/>
  <c r="R30" i="1" s="1"/>
  <c r="B16" i="4"/>
  <c r="F16" i="5"/>
  <c r="N35" i="1"/>
  <c r="U35" i="1" s="1"/>
  <c r="C7" i="4"/>
  <c r="D7" i="4" s="1"/>
  <c r="N40" i="1"/>
  <c r="U40" i="1" s="1"/>
  <c r="C14" i="4"/>
  <c r="N44" i="1"/>
  <c r="U44" i="1" s="1"/>
  <c r="C2" i="4"/>
  <c r="D2" i="4" s="1"/>
  <c r="L29" i="1"/>
  <c r="Q29" i="1" s="1"/>
  <c r="V29" i="1"/>
  <c r="P29" i="1"/>
  <c r="W29" i="1" s="1"/>
  <c r="X29" i="1" s="1"/>
  <c r="I2" i="5" s="1"/>
  <c r="A20" i="4"/>
  <c r="E20" i="4" s="1"/>
  <c r="N32" i="1"/>
  <c r="U32" i="1" s="1"/>
  <c r="C19" i="4"/>
  <c r="M34" i="1"/>
  <c r="R34" i="1" s="1"/>
  <c r="B6" i="4"/>
  <c r="L36" i="1"/>
  <c r="Q36" i="1" s="1"/>
  <c r="T36" i="1"/>
  <c r="P36" i="1"/>
  <c r="W36" i="1" s="1"/>
  <c r="X36" i="1" s="1"/>
  <c r="I9" i="5" s="1"/>
  <c r="A21" i="4"/>
  <c r="U12" i="1"/>
  <c r="M37" i="1"/>
  <c r="R37" i="1" s="1"/>
  <c r="B15" i="4"/>
  <c r="M39" i="1"/>
  <c r="R39" i="1" s="1"/>
  <c r="B4" i="4"/>
  <c r="U15" i="1"/>
  <c r="M43" i="1"/>
  <c r="R43" i="1" s="1"/>
  <c r="B13" i="4"/>
  <c r="P45" i="1"/>
  <c r="T45" i="1"/>
  <c r="L45" i="1"/>
  <c r="Q45" i="1" s="1"/>
  <c r="A17" i="4"/>
  <c r="N46" i="1"/>
  <c r="U46" i="1" s="1"/>
  <c r="C9" i="4"/>
  <c r="D9" i="4" s="1"/>
  <c r="M48" i="1"/>
  <c r="R48" i="1" s="1"/>
  <c r="B18" i="4"/>
  <c r="U24" i="1"/>
  <c r="E73" i="1" s="1"/>
  <c r="F17" i="5"/>
  <c r="R10" i="1"/>
  <c r="L35" i="1"/>
  <c r="Q35" i="1" s="1"/>
  <c r="T35" i="1"/>
  <c r="W35" i="1" s="1"/>
  <c r="X35" i="1" s="1"/>
  <c r="I8" i="5" s="1"/>
  <c r="P35" i="1"/>
  <c r="A7" i="4"/>
  <c r="L49" i="1"/>
  <c r="Q49" i="1" s="1"/>
  <c r="P49" i="1"/>
  <c r="T49" i="1"/>
  <c r="M29" i="1"/>
  <c r="R29" i="1" s="1"/>
  <c r="B20" i="4"/>
  <c r="N34" i="1"/>
  <c r="U34" i="1" s="1"/>
  <c r="C6" i="4"/>
  <c r="D6" i="4" s="1"/>
  <c r="M36" i="1"/>
  <c r="R36" i="1" s="1"/>
  <c r="B21" i="4"/>
  <c r="N37" i="1"/>
  <c r="U37" i="1" s="1"/>
  <c r="C15" i="4"/>
  <c r="D15" i="4" s="1"/>
  <c r="N39" i="1"/>
  <c r="U39" i="1" s="1"/>
  <c r="C4" i="4"/>
  <c r="D4" i="4" s="1"/>
  <c r="L42" i="1"/>
  <c r="Q42" i="1" s="1"/>
  <c r="P42" i="1"/>
  <c r="T42" i="1"/>
  <c r="A5" i="4"/>
  <c r="N43" i="1"/>
  <c r="U43" i="1" s="1"/>
  <c r="C13" i="4"/>
  <c r="D13" i="4" s="1"/>
  <c r="M45" i="1"/>
  <c r="R45" i="1" s="1"/>
  <c r="B17" i="4"/>
  <c r="N48" i="1"/>
  <c r="U48" i="1" s="1"/>
  <c r="C18" i="4"/>
  <c r="D18" i="4" s="1"/>
  <c r="N29" i="1"/>
  <c r="U29" i="1" s="1"/>
  <c r="C20" i="4"/>
  <c r="F31" i="1"/>
  <c r="L31" i="1"/>
  <c r="Q31" i="1" s="1"/>
  <c r="P31" i="1"/>
  <c r="T31" i="1"/>
  <c r="W31" i="1" s="1"/>
  <c r="X31" i="1" s="1"/>
  <c r="I4" i="5" s="1"/>
  <c r="A11" i="4"/>
  <c r="E11" i="4" s="1"/>
  <c r="C33" i="1"/>
  <c r="L33" i="1"/>
  <c r="Q33" i="1" s="1"/>
  <c r="P33" i="1"/>
  <c r="T33" i="1"/>
  <c r="W33" i="1" s="1"/>
  <c r="X33" i="1" s="1"/>
  <c r="I6" i="5" s="1"/>
  <c r="A3" i="4"/>
  <c r="E3" i="4" s="1"/>
  <c r="N36" i="1"/>
  <c r="U36" i="1" s="1"/>
  <c r="C21" i="4"/>
  <c r="D21" i="4" s="1"/>
  <c r="F13" i="5"/>
  <c r="L41" i="1"/>
  <c r="Q41" i="1" s="1"/>
  <c r="P41" i="1"/>
  <c r="T41" i="1"/>
  <c r="W41" i="1" s="1"/>
  <c r="X41" i="1" s="1"/>
  <c r="I14" i="5" s="1"/>
  <c r="A10" i="4"/>
  <c r="M42" i="1"/>
  <c r="R42" i="1" s="1"/>
  <c r="B5" i="4"/>
  <c r="N45" i="1"/>
  <c r="U45" i="1" s="1"/>
  <c r="C17" i="4"/>
  <c r="D17" i="4" s="1"/>
  <c r="I49" i="1"/>
  <c r="J49" i="1" s="1"/>
  <c r="R4" i="1"/>
  <c r="M31" i="1"/>
  <c r="R31" i="1" s="1"/>
  <c r="B11" i="4"/>
  <c r="M33" i="1"/>
  <c r="R33" i="1" s="1"/>
  <c r="B3" i="4"/>
  <c r="U11" i="1"/>
  <c r="L38" i="1"/>
  <c r="Q38" i="1" s="1"/>
  <c r="P38" i="1"/>
  <c r="T38" i="1"/>
  <c r="A12" i="4"/>
  <c r="M41" i="1"/>
  <c r="R41" i="1" s="1"/>
  <c r="B10" i="4"/>
  <c r="N42" i="1"/>
  <c r="U42" i="1" s="1"/>
  <c r="C5" i="4"/>
  <c r="D5" i="4" s="1"/>
  <c r="F15" i="5"/>
  <c r="L47" i="1"/>
  <c r="Q47" i="1" s="1"/>
  <c r="P47" i="1"/>
  <c r="T47" i="1"/>
  <c r="A8" i="4"/>
  <c r="E8" i="4" s="1"/>
  <c r="F4" i="5"/>
  <c r="E29" i="1"/>
  <c r="D30" i="1"/>
  <c r="C30" i="1"/>
  <c r="V7" i="1"/>
  <c r="D34" i="1"/>
  <c r="C34" i="1"/>
  <c r="T9" i="1"/>
  <c r="T18" i="1"/>
  <c r="C44" i="1"/>
  <c r="F44" i="1"/>
  <c r="E45" i="1"/>
  <c r="D44" i="1"/>
  <c r="D29" i="1"/>
  <c r="C29" i="1"/>
  <c r="T4" i="1"/>
  <c r="U5" i="1"/>
  <c r="G31" i="1"/>
  <c r="V6" i="1"/>
  <c r="R7" i="1"/>
  <c r="T8" i="1"/>
  <c r="C57" i="1" s="1"/>
  <c r="E34" i="1"/>
  <c r="V10" i="1"/>
  <c r="R12" i="1"/>
  <c r="G46" i="1"/>
  <c r="G47" i="1"/>
  <c r="D50" i="1"/>
  <c r="F50" i="1"/>
  <c r="F73" i="1" s="1"/>
  <c r="R24" i="1"/>
  <c r="E31" i="1"/>
  <c r="G35" i="1"/>
  <c r="G37" i="1"/>
  <c r="G38" i="1"/>
  <c r="U4" i="1"/>
  <c r="G30" i="1"/>
  <c r="V5" i="1"/>
  <c r="R6" i="1"/>
  <c r="D32" i="1"/>
  <c r="C32" i="1"/>
  <c r="T7" i="1"/>
  <c r="F56" i="1" s="1"/>
  <c r="U8" i="1"/>
  <c r="V9" i="1"/>
  <c r="R13" i="1"/>
  <c r="C39" i="1"/>
  <c r="F39" i="1"/>
  <c r="D39" i="1"/>
  <c r="T14" i="1"/>
  <c r="E40" i="1"/>
  <c r="E41" i="1"/>
  <c r="R16" i="1"/>
  <c r="R22" i="1"/>
  <c r="C48" i="1"/>
  <c r="F48" i="1"/>
  <c r="T23" i="1"/>
  <c r="F29" i="1"/>
  <c r="T29" i="1" s="1"/>
  <c r="F30" i="1"/>
  <c r="G32" i="1"/>
  <c r="C50" i="1"/>
  <c r="T5" i="1"/>
  <c r="U6" i="1"/>
  <c r="E35" i="1"/>
  <c r="D36" i="1"/>
  <c r="C36" i="1"/>
  <c r="R11" i="1"/>
  <c r="C43" i="1"/>
  <c r="F43" i="1"/>
  <c r="D43" i="1"/>
  <c r="T19" i="1"/>
  <c r="E46" i="1"/>
  <c r="R21" i="1"/>
  <c r="F34" i="1"/>
  <c r="F35" i="1"/>
  <c r="F36" i="1"/>
  <c r="D33" i="1"/>
  <c r="F33" i="1"/>
  <c r="U9" i="1"/>
  <c r="E36" i="1"/>
  <c r="C40" i="1"/>
  <c r="F40" i="1"/>
  <c r="F64" i="1" s="1"/>
  <c r="R15" i="1"/>
  <c r="E30" i="1"/>
  <c r="G29" i="1"/>
  <c r="V4" i="1"/>
  <c r="R5" i="1"/>
  <c r="D31" i="1"/>
  <c r="C31" i="1"/>
  <c r="T6" i="1"/>
  <c r="E32" i="1"/>
  <c r="U7" i="1"/>
  <c r="G33" i="1"/>
  <c r="V8" i="1"/>
  <c r="R9" i="1"/>
  <c r="D35" i="1"/>
  <c r="C35" i="1"/>
  <c r="T10" i="1"/>
  <c r="T11" i="1"/>
  <c r="E37" i="1"/>
  <c r="V12" i="1"/>
  <c r="V13" i="1"/>
  <c r="G41" i="1"/>
  <c r="G42" i="1"/>
  <c r="R18" i="1"/>
  <c r="R19" i="1"/>
  <c r="C45" i="1"/>
  <c r="F45" i="1"/>
  <c r="D45" i="1"/>
  <c r="R20" i="1"/>
  <c r="U20" i="1"/>
  <c r="V21" i="1"/>
  <c r="V22" i="1"/>
  <c r="E33" i="1"/>
  <c r="D38" i="1"/>
  <c r="T13" i="1"/>
  <c r="E39" i="1"/>
  <c r="U14" i="1"/>
  <c r="G40" i="1"/>
  <c r="V15" i="1"/>
  <c r="C42" i="1"/>
  <c r="F42" i="1"/>
  <c r="T17" i="1"/>
  <c r="E43" i="1"/>
  <c r="U18" i="1"/>
  <c r="E44" i="1"/>
  <c r="U19" i="1"/>
  <c r="G45" i="1"/>
  <c r="V20" i="1"/>
  <c r="C47" i="1"/>
  <c r="F47" i="1"/>
  <c r="T22" i="1"/>
  <c r="E48" i="1"/>
  <c r="U23" i="1"/>
  <c r="V24" i="1"/>
  <c r="G73" i="1" s="1"/>
  <c r="D37" i="1"/>
  <c r="T12" i="1"/>
  <c r="E38" i="1"/>
  <c r="U13" i="1"/>
  <c r="G39" i="1"/>
  <c r="V14" i="1"/>
  <c r="C41" i="1"/>
  <c r="F41" i="1"/>
  <c r="T16" i="1"/>
  <c r="E42" i="1"/>
  <c r="U17" i="1"/>
  <c r="G43" i="1"/>
  <c r="V18" i="1"/>
  <c r="G44" i="1"/>
  <c r="V19" i="1"/>
  <c r="C46" i="1"/>
  <c r="F46" i="1"/>
  <c r="T21" i="1"/>
  <c r="E47" i="1"/>
  <c r="U22" i="1"/>
  <c r="G48" i="1"/>
  <c r="V23" i="1"/>
  <c r="C37" i="1"/>
  <c r="C38" i="1"/>
  <c r="D41" i="1"/>
  <c r="D47" i="1"/>
  <c r="W42" i="1" l="1"/>
  <c r="X42" i="1" s="1"/>
  <c r="I15" i="5" s="1"/>
  <c r="E7" i="4"/>
  <c r="E4" i="4"/>
  <c r="E6" i="4"/>
  <c r="D8" i="4"/>
  <c r="E21" i="4"/>
  <c r="W39" i="1"/>
  <c r="X39" i="1" s="1"/>
  <c r="I12" i="5" s="1"/>
  <c r="W34" i="1"/>
  <c r="X34" i="1" s="1"/>
  <c r="I7" i="5" s="1"/>
  <c r="I33" i="1"/>
  <c r="J33" i="1" s="1"/>
  <c r="W47" i="1"/>
  <c r="X47" i="1" s="1"/>
  <c r="I20" i="5" s="1"/>
  <c r="E18" i="4"/>
  <c r="W43" i="1"/>
  <c r="X43" i="1" s="1"/>
  <c r="I16" i="5" s="1"/>
  <c r="W32" i="1"/>
  <c r="X32" i="1" s="1"/>
  <c r="I5" i="5" s="1"/>
  <c r="E9" i="4"/>
  <c r="E13" i="4"/>
  <c r="F67" i="1"/>
  <c r="F62" i="1"/>
  <c r="E12" i="4"/>
  <c r="E10" i="4"/>
  <c r="E17" i="4"/>
  <c r="W40" i="1"/>
  <c r="X40" i="1" s="1"/>
  <c r="I13" i="5" s="1"/>
  <c r="E15" i="4"/>
  <c r="E16" i="4"/>
  <c r="W48" i="1"/>
  <c r="X48" i="1" s="1"/>
  <c r="I21" i="5" s="1"/>
  <c r="F55" i="1"/>
  <c r="W38" i="1"/>
  <c r="X38" i="1" s="1"/>
  <c r="I11" i="5" s="1"/>
  <c r="D20" i="4"/>
  <c r="W49" i="1"/>
  <c r="X49" i="1" s="1"/>
  <c r="I22" i="5" s="1"/>
  <c r="W45" i="1"/>
  <c r="X45" i="1" s="1"/>
  <c r="I18" i="5" s="1"/>
  <c r="E2" i="4"/>
  <c r="D3" i="4"/>
  <c r="W37" i="1"/>
  <c r="X37" i="1" s="1"/>
  <c r="I10" i="5" s="1"/>
  <c r="D11" i="4"/>
  <c r="F61" i="1"/>
  <c r="E5" i="4"/>
  <c r="D19" i="4"/>
  <c r="D14" i="4"/>
  <c r="W44" i="1"/>
  <c r="X44" i="1" s="1"/>
  <c r="I17" i="5" s="1"/>
  <c r="F72" i="1"/>
  <c r="F60" i="1"/>
  <c r="F63" i="1"/>
  <c r="F57" i="1"/>
  <c r="H57" i="1" s="1"/>
  <c r="I57" i="1" s="1"/>
  <c r="F53" i="1"/>
  <c r="I42" i="1"/>
  <c r="J42" i="1" s="1"/>
  <c r="C66" i="1"/>
  <c r="I50" i="1"/>
  <c r="J50" i="1" s="1"/>
  <c r="C73" i="1"/>
  <c r="H73" i="1" s="1"/>
  <c r="I73" i="1" s="1"/>
  <c r="C62" i="1"/>
  <c r="H62" i="1" s="1"/>
  <c r="I62" i="1" s="1"/>
  <c r="I38" i="1"/>
  <c r="J38" i="1" s="1"/>
  <c r="F70" i="1"/>
  <c r="F71" i="1"/>
  <c r="C67" i="1"/>
  <c r="H67" i="1" s="1"/>
  <c r="I67" i="1" s="1"/>
  <c r="I43" i="1"/>
  <c r="J43" i="1" s="1"/>
  <c r="AG18" i="1" s="1"/>
  <c r="I36" i="1"/>
  <c r="J36" i="1" s="1"/>
  <c r="C60" i="1"/>
  <c r="H60" i="1" s="1"/>
  <c r="I60" i="1" s="1"/>
  <c r="I48" i="1"/>
  <c r="J48" i="1" s="1"/>
  <c r="AG23" i="1" s="1"/>
  <c r="C72" i="1"/>
  <c r="H72" i="1" s="1"/>
  <c r="I72" i="1" s="1"/>
  <c r="C63" i="1"/>
  <c r="I39" i="1"/>
  <c r="J39" i="1" s="1"/>
  <c r="C54" i="1"/>
  <c r="I30" i="1"/>
  <c r="J30" i="1" s="1"/>
  <c r="AG5" i="1" s="1"/>
  <c r="C61" i="1"/>
  <c r="H61" i="1" s="1"/>
  <c r="I61" i="1" s="1"/>
  <c r="I37" i="1"/>
  <c r="J37" i="1" s="1"/>
  <c r="AG12" i="1" s="1"/>
  <c r="I46" i="1"/>
  <c r="J46" i="1" s="1"/>
  <c r="AG21" i="1" s="1"/>
  <c r="C70" i="1"/>
  <c r="F65" i="1"/>
  <c r="C71" i="1"/>
  <c r="I47" i="1"/>
  <c r="J47" i="1" s="1"/>
  <c r="AG22" i="1" s="1"/>
  <c r="F69" i="1"/>
  <c r="C59" i="1"/>
  <c r="I35" i="1"/>
  <c r="J35" i="1" s="1"/>
  <c r="AG10" i="1" s="1"/>
  <c r="C55" i="1"/>
  <c r="H55" i="1" s="1"/>
  <c r="I55" i="1" s="1"/>
  <c r="I31" i="1"/>
  <c r="J31" i="1" s="1"/>
  <c r="AG6" i="1" s="1"/>
  <c r="F59" i="1"/>
  <c r="I32" i="1"/>
  <c r="J32" i="1" s="1"/>
  <c r="C56" i="1"/>
  <c r="H56" i="1" s="1"/>
  <c r="I56" i="1" s="1"/>
  <c r="C53" i="1"/>
  <c r="I29" i="1"/>
  <c r="J29" i="1" s="1"/>
  <c r="AG4" i="1" s="1"/>
  <c r="F68" i="1"/>
  <c r="C65" i="1"/>
  <c r="I41" i="1"/>
  <c r="J41" i="1" s="1"/>
  <c r="F66" i="1"/>
  <c r="C69" i="1"/>
  <c r="I45" i="1"/>
  <c r="J45" i="1" s="1"/>
  <c r="AG20" i="1" s="1"/>
  <c r="I40" i="1"/>
  <c r="J40" i="1" s="1"/>
  <c r="AG15" i="1" s="1"/>
  <c r="C64" i="1"/>
  <c r="H64" i="1" s="1"/>
  <c r="I64" i="1" s="1"/>
  <c r="F58" i="1"/>
  <c r="F54" i="1"/>
  <c r="I44" i="1"/>
  <c r="J44" i="1" s="1"/>
  <c r="C68" i="1"/>
  <c r="H68" i="1" s="1"/>
  <c r="I68" i="1" s="1"/>
  <c r="C58" i="1"/>
  <c r="I34" i="1"/>
  <c r="J34" i="1" s="1"/>
  <c r="AG9" i="1" s="1"/>
  <c r="AG24" i="1" l="1"/>
  <c r="Y24" i="1"/>
  <c r="H58" i="1"/>
  <c r="I58" i="1" s="1"/>
  <c r="H65" i="1"/>
  <c r="I65" i="1" s="1"/>
  <c r="H66" i="1"/>
  <c r="I66" i="1" s="1"/>
  <c r="H69" i="1"/>
  <c r="I69" i="1" s="1"/>
  <c r="H63" i="1"/>
  <c r="I63" i="1" s="1"/>
  <c r="H70" i="1"/>
  <c r="I70" i="1" s="1"/>
  <c r="H53" i="1"/>
  <c r="I53" i="1" s="1"/>
  <c r="H71" i="1"/>
  <c r="I71" i="1" s="1"/>
  <c r="H54" i="1"/>
  <c r="I54" i="1" s="1"/>
  <c r="AG17" i="1"/>
  <c r="AG19" i="1"/>
  <c r="AG16" i="1"/>
  <c r="AG7" i="1"/>
  <c r="H59" i="1"/>
  <c r="I59" i="1" s="1"/>
  <c r="AG14" i="1"/>
  <c r="AG8" i="1"/>
  <c r="AG11" i="1"/>
  <c r="AG13" i="1"/>
  <c r="AD21" i="1" l="1"/>
  <c r="G19" i="5" s="1"/>
  <c r="W18" i="1"/>
  <c r="AD11" i="1"/>
  <c r="G9" i="5" s="1"/>
  <c r="AD18" i="1"/>
  <c r="G16" i="5" s="1"/>
  <c r="AD7" i="1"/>
  <c r="G5" i="5" s="1"/>
  <c r="AD4" i="1"/>
  <c r="G2" i="5" s="1"/>
  <c r="AD6" i="1"/>
  <c r="G4" i="5" s="1"/>
  <c r="AD8" i="1"/>
  <c r="G6" i="5" s="1"/>
  <c r="AD10" i="1"/>
  <c r="G8" i="5" s="1"/>
  <c r="AD14" i="1"/>
  <c r="G12" i="5" s="1"/>
  <c r="AD16" i="1"/>
  <c r="G14" i="5" s="1"/>
  <c r="AD22" i="1"/>
  <c r="G20" i="5" s="1"/>
  <c r="AD9" i="1"/>
  <c r="G7" i="5" s="1"/>
  <c r="AD5" i="1" l="1"/>
  <c r="G3" i="5" s="1"/>
  <c r="AD13" i="1"/>
  <c r="G11" i="5" s="1"/>
  <c r="AD15" i="1"/>
  <c r="G13" i="5" s="1"/>
  <c r="AD12" i="1"/>
  <c r="G10" i="5" s="1"/>
  <c r="AD20" i="1"/>
  <c r="G18" i="5" s="1"/>
  <c r="AD19" i="1"/>
  <c r="G17" i="5" s="1"/>
  <c r="AD23" i="1"/>
  <c r="G21" i="5" s="1"/>
  <c r="AD17" i="1"/>
  <c r="G15" i="5" s="1"/>
</calcChain>
</file>

<file path=xl/sharedStrings.xml><?xml version="1.0" encoding="utf-8"?>
<sst xmlns="http://schemas.openxmlformats.org/spreadsheetml/2006/main" count="105" uniqueCount="76">
  <si>
    <t>Temperature (ºC)</t>
  </si>
  <si>
    <t>Time (hr)</t>
  </si>
  <si>
    <t>L/S</t>
  </si>
  <si>
    <t xml:space="preserve"> HTC num.</t>
  </si>
  <si>
    <t>Carbon (%)</t>
  </si>
  <si>
    <t>Average C</t>
  </si>
  <si>
    <t>Uncertainty (%)</t>
  </si>
  <si>
    <t>Hydogen (%)</t>
  </si>
  <si>
    <t>Average H</t>
  </si>
  <si>
    <t>Nitrogen (%)</t>
  </si>
  <si>
    <t>Average N</t>
  </si>
  <si>
    <t>Oxygen (%)</t>
  </si>
  <si>
    <t>#1</t>
  </si>
  <si>
    <t>#2</t>
  </si>
  <si>
    <t>del_C</t>
  </si>
  <si>
    <t>del_H</t>
  </si>
  <si>
    <t>del_N</t>
  </si>
  <si>
    <t>HHV MJ/kg</t>
  </si>
  <si>
    <t>Solid yield (g)</t>
  </si>
  <si>
    <t>ERE</t>
  </si>
  <si>
    <t>Energy densification</t>
  </si>
  <si>
    <t>NORMAL</t>
  </si>
  <si>
    <t>Raw</t>
  </si>
  <si>
    <t>3.55C^2-232C-2230H+51.2C*H+131N+20600</t>
  </si>
  <si>
    <t>3.55C^2</t>
  </si>
  <si>
    <t>232C</t>
  </si>
  <si>
    <t>2230H</t>
  </si>
  <si>
    <t>51.2C*H</t>
  </si>
  <si>
    <t>131N</t>
  </si>
  <si>
    <t>HHV kJ/kg</t>
  </si>
  <si>
    <t>Errors</t>
  </si>
  <si>
    <t>Final reactor pressure (bar)</t>
  </si>
  <si>
    <t>Mass SCG used</t>
  </si>
  <si>
    <t>Solid hydrochar yield</t>
  </si>
  <si>
    <t>Filter paper weight (g)</t>
  </si>
  <si>
    <t>Hydrochar losses infilter paper (g)</t>
  </si>
  <si>
    <t>true solid yield (g)</t>
  </si>
  <si>
    <t>True solid yield (%)</t>
  </si>
  <si>
    <t>Liquid phase yield</t>
  </si>
  <si>
    <t>Beaker (Before)</t>
  </si>
  <si>
    <t>Solids</t>
  </si>
  <si>
    <t>Beaker with solids</t>
  </si>
  <si>
    <t>Beaker (after)</t>
  </si>
  <si>
    <t>Solids used</t>
  </si>
  <si>
    <t>Container (empty)</t>
  </si>
  <si>
    <t>Container (with solids)</t>
  </si>
  <si>
    <t>Solid yield</t>
  </si>
  <si>
    <t>Corrected solid yield</t>
  </si>
  <si>
    <t>Initial</t>
  </si>
  <si>
    <t>After</t>
  </si>
  <si>
    <t>Container (with liquid)</t>
  </si>
  <si>
    <t>Liquid recovered</t>
  </si>
  <si>
    <t>% liquid yield</t>
  </si>
  <si>
    <t>Average</t>
  </si>
  <si>
    <t>C</t>
  </si>
  <si>
    <t>H</t>
  </si>
  <si>
    <t>N</t>
  </si>
  <si>
    <t>N/C</t>
  </si>
  <si>
    <t>C/N</t>
  </si>
  <si>
    <t>RUN</t>
  </si>
  <si>
    <t xml:space="preserve">Run </t>
  </si>
  <si>
    <t>X1</t>
  </si>
  <si>
    <t>X2</t>
  </si>
  <si>
    <t>X3</t>
  </si>
  <si>
    <t>error</t>
  </si>
  <si>
    <t>absolute error c</t>
  </si>
  <si>
    <t>absolute error H</t>
  </si>
  <si>
    <t>absolute error n</t>
  </si>
  <si>
    <t>C^2</t>
  </si>
  <si>
    <t>rel</t>
  </si>
  <si>
    <t>abs</t>
  </si>
  <si>
    <t>C*H</t>
  </si>
  <si>
    <t>hhv error kj/kg</t>
  </si>
  <si>
    <t>HHV error Mjkg</t>
  </si>
  <si>
    <t>HHV uncertainty</t>
  </si>
  <si>
    <t>DSCG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</si>
</sst>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" fillId="2" borderId="0" xfId="0" applyNumberFormat="1" applyFont="1" applyFill="1"/>
    <xf numFmtId="0" fontId="0" fillId="2" borderId="0" xfId="0" applyFill="1"/>
    <xf numFmtId="2" fontId="0" fillId="2" borderId="0" xfId="0" applyNumberFormat="1" applyFill="1"/>
    <xf numFmtId="164" fontId="0" fillId="2" borderId="0" xfId="0" applyNumberFormat="1" applyFill="1"/>
    <xf numFmtId="0" fontId="0" fillId="0" borderId="4" xfId="0" applyBorder="1"/>
    <xf numFmtId="164" fontId="0" fillId="0" borderId="0" xfId="0" applyNumberFormat="1" applyBorder="1"/>
    <xf numFmtId="164" fontId="1" fillId="0" borderId="0" xfId="0" applyNumberFormat="1" applyFont="1" applyBorder="1"/>
    <xf numFmtId="0" fontId="0" fillId="2" borderId="0" xfId="0" applyFill="1" applyBorder="1"/>
    <xf numFmtId="0" fontId="0" fillId="0" borderId="0" xfId="0" applyBorder="1"/>
    <xf numFmtId="0" fontId="0" fillId="0" borderId="5" xfId="0" applyBorder="1"/>
    <xf numFmtId="164" fontId="1" fillId="0" borderId="0" xfId="0" applyNumberFormat="1" applyFont="1"/>
    <xf numFmtId="2" fontId="0" fillId="0" borderId="0" xfId="0" applyNumberFormat="1"/>
    <xf numFmtId="0" fontId="0" fillId="2" borderId="4" xfId="0" applyFill="1" applyBorder="1"/>
    <xf numFmtId="164" fontId="0" fillId="2" borderId="0" xfId="0" applyNumberFormat="1" applyFill="1" applyBorder="1"/>
    <xf numFmtId="164" fontId="1" fillId="2" borderId="0" xfId="0" applyNumberFormat="1" applyFont="1" applyFill="1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2" borderId="0" xfId="0" applyNumberFormat="1" applyFill="1"/>
    <xf numFmtId="1" fontId="0" fillId="0" borderId="0" xfId="0" applyNumberFormat="1"/>
    <xf numFmtId="0" fontId="3" fillId="3" borderId="9" xfId="0" applyFont="1" applyFill="1" applyBorder="1"/>
    <xf numFmtId="164" fontId="0" fillId="4" borderId="10" xfId="0" applyNumberFormat="1" applyFont="1" applyFill="1" applyBorder="1"/>
    <xf numFmtId="2" fontId="1" fillId="0" borderId="0" xfId="0" applyNumberFormat="1" applyFont="1"/>
    <xf numFmtId="1" fontId="1" fillId="0" borderId="0" xfId="0" applyNumberFormat="1" applyFont="1"/>
    <xf numFmtId="0" fontId="2" fillId="0" borderId="0" xfId="0" applyFont="1" applyAlignment="1"/>
    <xf numFmtId="2" fontId="0" fillId="0" borderId="10" xfId="0" applyNumberFormat="1" applyFont="1" applyFill="1" applyBorder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indexed="64"/>
          <bgColor theme="5" tint="0.59999389629810485"/>
        </patternFill>
      </fill>
    </dxf>
    <dxf>
      <numFmt numFmtId="164" formatCode="0.00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21"/>
                <c:pt idx="0">
                  <c:v>0.83163015872859614</c:v>
                </c:pt>
                <c:pt idx="1">
                  <c:v>0.85165597416273997</c:v>
                </c:pt>
                <c:pt idx="2">
                  <c:v>0.86473849227981647</c:v>
                </c:pt>
                <c:pt idx="3">
                  <c:v>0.83907155538576306</c:v>
                </c:pt>
                <c:pt idx="4">
                  <c:v>0.842706121614064</c:v>
                </c:pt>
                <c:pt idx="5">
                  <c:v>0.91886877985564408</c:v>
                </c:pt>
                <c:pt idx="6">
                  <c:v>0.77367116341445941</c:v>
                </c:pt>
                <c:pt idx="7">
                  <c:v>0.84849830679498361</c:v>
                </c:pt>
                <c:pt idx="8">
                  <c:v>0.91352320119186436</c:v>
                </c:pt>
                <c:pt idx="9">
                  <c:v>0.87248470476911499</c:v>
                </c:pt>
                <c:pt idx="10">
                  <c:v>0.80676979697741336</c:v>
                </c:pt>
                <c:pt idx="11">
                  <c:v>0.86505059496780023</c:v>
                </c:pt>
                <c:pt idx="12">
                  <c:v>0.8197346485049235</c:v>
                </c:pt>
                <c:pt idx="13">
                  <c:v>0.82785466240541339</c:v>
                </c:pt>
                <c:pt idx="14">
                  <c:v>0.93305063442149594</c:v>
                </c:pt>
                <c:pt idx="15">
                  <c:v>0.81454590992060238</c:v>
                </c:pt>
                <c:pt idx="16">
                  <c:v>0.87184351816563188</c:v>
                </c:pt>
                <c:pt idx="17">
                  <c:v>0.87441022702758275</c:v>
                </c:pt>
                <c:pt idx="18">
                  <c:v>0.89327367530208057</c:v>
                </c:pt>
                <c:pt idx="19">
                  <c:v>0.87538575473005675</c:v>
                </c:pt>
                <c:pt idx="20">
                  <c:v>0.63586094034860008</c:v>
                </c:pt>
              </c:numLit>
            </c:plus>
            <c:minus>
              <c:numLit>
                <c:formatCode>General</c:formatCode>
                <c:ptCount val="21"/>
                <c:pt idx="0">
                  <c:v>0.83163015872859614</c:v>
                </c:pt>
                <c:pt idx="1">
                  <c:v>0.85165597416273997</c:v>
                </c:pt>
                <c:pt idx="2">
                  <c:v>0.86473849227981647</c:v>
                </c:pt>
                <c:pt idx="3">
                  <c:v>0.83907155538576306</c:v>
                </c:pt>
                <c:pt idx="4">
                  <c:v>0.842706121614064</c:v>
                </c:pt>
                <c:pt idx="5">
                  <c:v>0.91886877985564408</c:v>
                </c:pt>
                <c:pt idx="6">
                  <c:v>0.77367116341445941</c:v>
                </c:pt>
                <c:pt idx="7">
                  <c:v>0.84849830679498361</c:v>
                </c:pt>
                <c:pt idx="8">
                  <c:v>0.91352320119186436</c:v>
                </c:pt>
                <c:pt idx="9">
                  <c:v>0.87248470476911499</c:v>
                </c:pt>
                <c:pt idx="10">
                  <c:v>0.80676979697741336</c:v>
                </c:pt>
                <c:pt idx="11">
                  <c:v>0.86505059496780023</c:v>
                </c:pt>
                <c:pt idx="12">
                  <c:v>0.8197346485049235</c:v>
                </c:pt>
                <c:pt idx="13">
                  <c:v>0.82785466240541339</c:v>
                </c:pt>
                <c:pt idx="14">
                  <c:v>0.93305063442149594</c:v>
                </c:pt>
                <c:pt idx="15">
                  <c:v>0.81454590992060238</c:v>
                </c:pt>
                <c:pt idx="16">
                  <c:v>0.87184351816563188</c:v>
                </c:pt>
                <c:pt idx="17">
                  <c:v>0.87441022702758275</c:v>
                </c:pt>
                <c:pt idx="18">
                  <c:v>0.89327367530208057</c:v>
                </c:pt>
                <c:pt idx="19">
                  <c:v>0.87538575473005675</c:v>
                </c:pt>
                <c:pt idx="20">
                  <c:v>0.63586094034860008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21"/>
              <c:pt idx="0">
                <c:v>16</c:v>
              </c:pt>
              <c:pt idx="1">
                <c:v>7</c:v>
              </c:pt>
              <c:pt idx="2">
                <c:v>19</c:v>
              </c:pt>
              <c:pt idx="3">
                <c:v>5</c:v>
              </c:pt>
              <c:pt idx="4">
                <c:v>15</c:v>
              </c:pt>
              <c:pt idx="5">
                <c:v>11</c:v>
              </c:pt>
              <c:pt idx="6">
                <c:v>18</c:v>
              </c:pt>
              <c:pt idx="7">
                <c:v>10</c:v>
              </c:pt>
              <c:pt idx="8">
                <c:v>12</c:v>
              </c:pt>
              <c:pt idx="9">
                <c:v>2</c:v>
              </c:pt>
              <c:pt idx="10">
                <c:v>13</c:v>
              </c:pt>
              <c:pt idx="11">
                <c:v>6</c:v>
              </c:pt>
              <c:pt idx="12">
                <c:v>9</c:v>
              </c:pt>
              <c:pt idx="13">
                <c:v>20</c:v>
              </c:pt>
              <c:pt idx="14">
                <c:v>14</c:v>
              </c:pt>
              <c:pt idx="15">
                <c:v>17</c:v>
              </c:pt>
              <c:pt idx="16">
                <c:v>4</c:v>
              </c:pt>
              <c:pt idx="17">
                <c:v>1</c:v>
              </c:pt>
              <c:pt idx="18">
                <c:v>8</c:v>
              </c:pt>
              <c:pt idx="19">
                <c:v>3</c:v>
              </c:pt>
              <c:pt idx="20">
                <c:v>Raw</c:v>
              </c:pt>
            </c:strLit>
          </c:cat>
          <c:val>
            <c:numLit>
              <c:formatCode>General</c:formatCode>
              <c:ptCount val="21"/>
              <c:pt idx="0">
                <c:v>26.710728518750003</c:v>
              </c:pt>
              <c:pt idx="1">
                <c:v>25.461178220000001</c:v>
              </c:pt>
              <c:pt idx="2">
                <c:v>30.30025050875</c:v>
              </c:pt>
              <c:pt idx="3">
                <c:v>27.868544678750002</c:v>
              </c:pt>
              <c:pt idx="4">
                <c:v>31.95667846000001</c:v>
              </c:pt>
              <c:pt idx="5">
                <c:v>26.174233434999998</c:v>
              </c:pt>
              <c:pt idx="6">
                <c:v>29.983783594999998</c:v>
              </c:pt>
              <c:pt idx="7">
                <c:v>29.7299088</c:v>
              </c:pt>
              <c:pt idx="8">
                <c:v>29.78510674875</c:v>
              </c:pt>
              <c:pt idx="9">
                <c:v>29.16947073875</c:v>
              </c:pt>
              <c:pt idx="10">
                <c:v>26.725201899999995</c:v>
              </c:pt>
              <c:pt idx="11">
                <c:v>31.009844218749997</c:v>
              </c:pt>
              <c:pt idx="12">
                <c:v>31.149079108750005</c:v>
              </c:pt>
              <c:pt idx="13">
                <c:v>30.696913360000007</c:v>
              </c:pt>
              <c:pt idx="14">
                <c:v>27.812466838749998</c:v>
              </c:pt>
              <c:pt idx="15">
                <c:v>30.757923040000009</c:v>
              </c:pt>
              <c:pt idx="16">
                <c:v>29.444161718750003</c:v>
              </c:pt>
              <c:pt idx="17">
                <c:v>28.968573195000005</c:v>
              </c:pt>
              <c:pt idx="18">
                <c:v>29.293488728749995</c:v>
              </c:pt>
              <c:pt idx="19">
                <c:v>31.446520239999998</c:v>
              </c:pt>
              <c:pt idx="20">
                <c:v>18.545856828749997</c:v>
              </c:pt>
            </c:numLit>
          </c:val>
          <c:extLst>
            <c:ext xmlns:c16="http://schemas.microsoft.com/office/drawing/2014/chart" uri="{C3380CC4-5D6E-409C-BE32-E72D297353CC}">
              <c16:uniqueId val="{00000000-BA96-4768-8372-65D03CA6C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3236008"/>
        <c:axId val="603237976"/>
      </c:barChart>
      <c:catAx>
        <c:axId val="603236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HTC run order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37976"/>
        <c:crosses val="autoZero"/>
        <c:auto val="1"/>
        <c:lblAlgn val="ctr"/>
        <c:lblOffset val="100"/>
        <c:noMultiLvlLbl val="0"/>
      </c:catAx>
      <c:valAx>
        <c:axId val="603237976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HHV (MJ/Kg)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3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0</xdr:row>
      <xdr:rowOff>0</xdr:rowOff>
    </xdr:from>
    <xdr:ext cx="955198" cy="4138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C2CBF0E-65DA-47B9-9D80-6E1DD332EA02}"/>
                </a:ext>
              </a:extLst>
            </xdr:cNvPr>
            <xdr:cNvSpPr txBox="1"/>
          </xdr:nvSpPr>
          <xdr:spPr>
            <a:xfrm>
              <a:off x="12696825" y="0"/>
              <a:ext cx="955198" cy="4138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𝑑𝑒𝑙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𝜕</m:t>
                                </m:r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num>
                              <m:den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GB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C2CBF0E-65DA-47B9-9D80-6E1DD332EA02}"/>
                </a:ext>
              </a:extLst>
            </xdr:cNvPr>
            <xdr:cNvSpPr txBox="1"/>
          </xdr:nvSpPr>
          <xdr:spPr>
            <a:xfrm>
              <a:off x="12696825" y="0"/>
              <a:ext cx="955198" cy="4138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𝑑𝑒𝑙_𝐶=(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𝜕𝐶/𝐶)^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2</a:t>
              </a:r>
              <a:endParaRPr lang="en-GB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27</xdr:col>
      <xdr:colOff>552590</xdr:colOff>
      <xdr:row>35</xdr:row>
      <xdr:rowOff>72555</xdr:rowOff>
    </xdr:from>
    <xdr:to>
      <xdr:col>35</xdr:col>
      <xdr:colOff>440532</xdr:colOff>
      <xdr:row>51</xdr:row>
      <xdr:rowOff>186296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0C4B89-BC23-4635-932E-D8EEDD3AD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X3:AE24" totalsRowShown="0" headerRowDxfId="2">
  <autoFilter ref="X3:AE24" xr:uid="{00000000-0009-0000-0100-000001000000}"/>
  <sortState xmlns:xlrd2="http://schemas.microsoft.com/office/spreadsheetml/2017/richdata2" ref="X4:AE24">
    <sortCondition ref="X3:X24"/>
  </sortState>
  <tableColumns count="8">
    <tableColumn id="1" xr3:uid="{00000000-0010-0000-0000-000001000000}" name=" HTC num."/>
    <tableColumn id="2" xr3:uid="{00000000-0010-0000-0000-000002000000}" name="HHV MJ/kg" dataDxfId="1"/>
    <tableColumn id="3" xr3:uid="{00000000-0010-0000-0000-000003000000}" name="Temperature (ºC)"/>
    <tableColumn id="4" xr3:uid="{00000000-0010-0000-0000-000004000000}" name="Time (hr)"/>
    <tableColumn id="5" xr3:uid="{00000000-0010-0000-0000-000005000000}" name="L/S"/>
    <tableColumn id="6" xr3:uid="{00000000-0010-0000-0000-000006000000}" name="Solid yield (g)" dataDxfId="0"/>
    <tableColumn id="7" xr3:uid="{00000000-0010-0000-0000-000007000000}" name="ERE">
      <calculatedColumnFormula>AF4</calculatedColumnFormula>
    </tableColumn>
    <tableColumn id="8" xr3:uid="{00000000-0010-0000-0000-000008000000}" name="Energy densifi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3"/>
  <sheetViews>
    <sheetView tabSelected="1" zoomScale="80" zoomScaleNormal="80" workbookViewId="0">
      <selection activeCell="AJ5" sqref="AJ5"/>
    </sheetView>
  </sheetViews>
  <sheetFormatPr defaultRowHeight="14.4" x14ac:dyDescent="0.3"/>
  <cols>
    <col min="5" max="5" width="10.6640625" bestFit="1" customWidth="1"/>
    <col min="6" max="6" width="12.33203125" bestFit="1" customWidth="1"/>
    <col min="7" max="7" width="9.44140625" customWidth="1"/>
    <col min="8" max="8" width="12.5546875" customWidth="1"/>
    <col min="9" max="9" width="12.33203125" bestFit="1" customWidth="1"/>
    <col min="12" max="12" width="16.6640625" bestFit="1" customWidth="1"/>
    <col min="13" max="13" width="17.33203125" bestFit="1" customWidth="1"/>
    <col min="14" max="14" width="17.109375" bestFit="1" customWidth="1"/>
    <col min="15" max="15" width="9.44140625" customWidth="1"/>
    <col min="16" max="16" width="11.5546875" customWidth="1"/>
    <col min="20" max="20" width="12.33203125" bestFit="1" customWidth="1"/>
    <col min="23" max="23" width="15.109375" bestFit="1" customWidth="1"/>
    <col min="24" max="24" width="15.6640625" bestFit="1" customWidth="1"/>
    <col min="25" max="25" width="12.6640625" customWidth="1"/>
    <col min="26" max="26" width="24.88671875" customWidth="1"/>
    <col min="27" max="27" width="10.88671875" customWidth="1"/>
    <col min="29" max="29" width="17" customWidth="1"/>
    <col min="31" max="31" width="19.5546875" customWidth="1"/>
    <col min="33" max="33" width="19.33203125" bestFit="1" customWidth="1"/>
    <col min="34" max="34" width="10.88671875" bestFit="1" customWidth="1"/>
  </cols>
  <sheetData>
    <row r="1" spans="1:36" x14ac:dyDescent="0.3">
      <c r="Y1" s="1">
        <f>Y4-Y5</f>
        <v>-0.20089754374999558</v>
      </c>
    </row>
    <row r="2" spans="1:36" ht="15" customHeight="1" thickBot="1" x14ac:dyDescent="0.35">
      <c r="A2" s="36" t="s">
        <v>0</v>
      </c>
      <c r="B2" s="36" t="s">
        <v>1</v>
      </c>
      <c r="C2" s="37" t="s">
        <v>2</v>
      </c>
      <c r="D2" s="38" t="s">
        <v>3</v>
      </c>
      <c r="E2" s="38" t="s">
        <v>4</v>
      </c>
      <c r="F2" s="38"/>
      <c r="G2" s="36" t="s">
        <v>5</v>
      </c>
      <c r="H2" s="38" t="s">
        <v>6</v>
      </c>
      <c r="I2" s="38" t="s">
        <v>7</v>
      </c>
      <c r="J2" s="38"/>
      <c r="K2" s="36" t="s">
        <v>8</v>
      </c>
      <c r="L2" s="38" t="s">
        <v>6</v>
      </c>
      <c r="M2" s="40" t="s">
        <v>9</v>
      </c>
      <c r="N2" s="40"/>
      <c r="O2" s="36" t="s">
        <v>10</v>
      </c>
      <c r="P2" s="38" t="s">
        <v>6</v>
      </c>
      <c r="R2" s="36" t="s">
        <v>11</v>
      </c>
    </row>
    <row r="3" spans="1:36" ht="15" customHeight="1" x14ac:dyDescent="0.3">
      <c r="A3" s="36"/>
      <c r="B3" s="36"/>
      <c r="C3" s="37"/>
      <c r="D3" s="38"/>
      <c r="E3" s="2" t="s">
        <v>12</v>
      </c>
      <c r="F3" s="2" t="s">
        <v>13</v>
      </c>
      <c r="G3" s="36"/>
      <c r="H3" s="38"/>
      <c r="I3" s="2" t="s">
        <v>12</v>
      </c>
      <c r="J3" s="2" t="s">
        <v>13</v>
      </c>
      <c r="K3" s="36"/>
      <c r="L3" s="38"/>
      <c r="M3" s="2" t="s">
        <v>12</v>
      </c>
      <c r="N3" s="2" t="s">
        <v>13</v>
      </c>
      <c r="O3" s="36"/>
      <c r="P3" s="38"/>
      <c r="R3" s="36"/>
      <c r="T3" t="s">
        <v>14</v>
      </c>
      <c r="U3" t="s">
        <v>15</v>
      </c>
      <c r="V3" t="s">
        <v>16</v>
      </c>
      <c r="X3" s="3" t="s">
        <v>3</v>
      </c>
      <c r="Y3" s="4" t="s">
        <v>17</v>
      </c>
      <c r="Z3" s="5" t="s">
        <v>0</v>
      </c>
      <c r="AA3" s="5" t="s">
        <v>1</v>
      </c>
      <c r="AB3" s="6" t="s">
        <v>2</v>
      </c>
      <c r="AC3" s="5" t="s">
        <v>18</v>
      </c>
      <c r="AD3" s="4" t="s">
        <v>19</v>
      </c>
      <c r="AE3" s="7" t="s">
        <v>20</v>
      </c>
      <c r="AF3" s="8" t="s">
        <v>19</v>
      </c>
      <c r="AG3" t="s">
        <v>20</v>
      </c>
      <c r="AH3">
        <f>25.461/Y4</f>
        <v>0.87891798566021828</v>
      </c>
      <c r="AJ3">
        <v>0.69978090277544214</v>
      </c>
    </row>
    <row r="4" spans="1:36" s="10" customFormat="1" x14ac:dyDescent="0.3">
      <c r="A4" s="9">
        <v>225</v>
      </c>
      <c r="B4" s="9">
        <v>3.5</v>
      </c>
      <c r="C4" s="9">
        <v>3.5</v>
      </c>
      <c r="D4" s="10">
        <v>1</v>
      </c>
      <c r="E4" s="11">
        <v>68.16</v>
      </c>
      <c r="F4" s="11">
        <v>67.260000000000005</v>
      </c>
      <c r="G4" s="11">
        <f>AVERAGE(E4:F4)</f>
        <v>67.710000000000008</v>
      </c>
      <c r="H4" s="12">
        <v>0.32700000000000001</v>
      </c>
      <c r="I4" s="11">
        <v>5.9</v>
      </c>
      <c r="J4" s="11">
        <v>5.74</v>
      </c>
      <c r="K4" s="11">
        <f>AVERAGE(I4:J4)</f>
        <v>5.82</v>
      </c>
      <c r="L4" s="12">
        <v>0.105</v>
      </c>
      <c r="M4" s="11">
        <v>4.63</v>
      </c>
      <c r="N4" s="11">
        <v>4.59</v>
      </c>
      <c r="O4" s="11">
        <f>AVERAGE(M4:N4)</f>
        <v>4.6099999999999994</v>
      </c>
      <c r="P4" s="12">
        <v>4.8000000000000001E-2</v>
      </c>
      <c r="R4" s="11">
        <f>100-(G4+K4+O4)</f>
        <v>21.86</v>
      </c>
      <c r="T4" s="10">
        <f>(H4/G4)^2</f>
        <v>2.3323293513666629E-5</v>
      </c>
      <c r="U4" s="10">
        <f>(L4/K4)^2</f>
        <v>3.254862365819959E-4</v>
      </c>
      <c r="V4" s="10">
        <f>(P4/O4)^2</f>
        <v>1.084128156746863E-4</v>
      </c>
      <c r="X4" s="21">
        <v>1</v>
      </c>
      <c r="Y4" s="22">
        <v>28.968573195000005</v>
      </c>
      <c r="Z4" s="23">
        <v>225</v>
      </c>
      <c r="AA4" s="23">
        <v>3.5</v>
      </c>
      <c r="AB4" s="23">
        <v>3.5</v>
      </c>
      <c r="AC4" s="16">
        <v>4.4890000000000008</v>
      </c>
      <c r="AD4" s="16">
        <f t="shared" ref="AD4:AD24" si="0">AF4</f>
        <v>0.65636609572283011</v>
      </c>
      <c r="AE4" s="24">
        <v>1.4650898371892978</v>
      </c>
      <c r="AF4" s="10">
        <v>0.65636609572283011</v>
      </c>
      <c r="AG4" s="10">
        <f>(J29/$J$50)</f>
        <v>1.4650898371892978</v>
      </c>
      <c r="AJ4" s="10">
        <v>0.76470101781895905</v>
      </c>
    </row>
    <row r="5" spans="1:36" s="10" customFormat="1" x14ac:dyDescent="0.3">
      <c r="A5" s="9">
        <v>225</v>
      </c>
      <c r="B5" s="9">
        <v>3.5</v>
      </c>
      <c r="C5" s="9">
        <v>3.5</v>
      </c>
      <c r="D5" s="10">
        <v>2</v>
      </c>
      <c r="E5" s="11">
        <v>68.36</v>
      </c>
      <c r="F5" s="11">
        <v>67.27</v>
      </c>
      <c r="G5" s="11">
        <f t="shared" ref="G5:G24" si="1">AVERAGE(E5:F5)</f>
        <v>67.814999999999998</v>
      </c>
      <c r="H5" s="12">
        <v>0.32800000000000001</v>
      </c>
      <c r="I5" s="11">
        <v>5.99</v>
      </c>
      <c r="J5" s="11">
        <v>5.92</v>
      </c>
      <c r="K5" s="11">
        <f t="shared" ref="K5:K24" si="2">AVERAGE(I5:J5)</f>
        <v>5.9550000000000001</v>
      </c>
      <c r="L5" s="12">
        <v>0.107</v>
      </c>
      <c r="M5" s="11">
        <v>4.47</v>
      </c>
      <c r="N5" s="11">
        <v>4.38</v>
      </c>
      <c r="O5" s="11">
        <f t="shared" ref="O5:O24" si="3">AVERAGE(M5:N5)</f>
        <v>4.4249999999999998</v>
      </c>
      <c r="P5" s="12">
        <v>4.5999999999999999E-2</v>
      </c>
      <c r="R5" s="11">
        <f t="shared" ref="R5:R24" si="4">100-(G5+K5+O5)</f>
        <v>21.805000000000007</v>
      </c>
      <c r="T5" s="10">
        <f t="shared" ref="T5:T24" si="5">(H5/G5)^2</f>
        <v>2.339355127721503E-5</v>
      </c>
      <c r="U5" s="10">
        <f t="shared" ref="U5:U22" si="6">(L5/K5)^2</f>
        <v>3.2285240338079957E-4</v>
      </c>
      <c r="V5" s="10">
        <f t="shared" ref="V5:V24" si="7">(P5/O5)^2</f>
        <v>1.0806600912892208E-4</v>
      </c>
      <c r="X5" s="21">
        <v>2</v>
      </c>
      <c r="Y5" s="22">
        <v>29.16947073875</v>
      </c>
      <c r="Z5" s="23">
        <v>225</v>
      </c>
      <c r="AA5" s="23">
        <v>3.5</v>
      </c>
      <c r="AB5" s="23">
        <v>3.5</v>
      </c>
      <c r="AC5" s="16">
        <v>4.8600000000000021</v>
      </c>
      <c r="AD5" s="16">
        <f t="shared" si="0"/>
        <v>0.71725852973465698</v>
      </c>
      <c r="AE5" s="24">
        <v>1.4752502599233803</v>
      </c>
      <c r="AF5" s="10">
        <v>0.71725852973465698</v>
      </c>
      <c r="AG5" s="10">
        <f t="shared" ref="AG5:AG23" si="8">(J30/$J$50)</f>
        <v>1.4752502599233803</v>
      </c>
      <c r="AJ5" s="10">
        <v>0.63942781189509723</v>
      </c>
    </row>
    <row r="6" spans="1:36" x14ac:dyDescent="0.3">
      <c r="A6" s="19">
        <v>260</v>
      </c>
      <c r="B6" s="19">
        <v>3.5</v>
      </c>
      <c r="C6" s="19">
        <v>3.5</v>
      </c>
      <c r="D6">
        <v>3</v>
      </c>
      <c r="E6" s="20">
        <v>72.650000000000006</v>
      </c>
      <c r="F6" s="20">
        <v>72.23</v>
      </c>
      <c r="G6" s="20">
        <f t="shared" si="1"/>
        <v>72.44</v>
      </c>
      <c r="H6" s="1">
        <v>0.34899999999999998</v>
      </c>
      <c r="I6" s="20">
        <v>5.74</v>
      </c>
      <c r="J6" s="20">
        <v>5.65</v>
      </c>
      <c r="K6" s="20">
        <f t="shared" si="2"/>
        <v>5.6950000000000003</v>
      </c>
      <c r="L6" s="1">
        <v>0.10199999999999999</v>
      </c>
      <c r="M6" s="20">
        <v>4.63</v>
      </c>
      <c r="N6" s="20">
        <v>4.55</v>
      </c>
      <c r="O6" s="20">
        <f t="shared" si="3"/>
        <v>4.59</v>
      </c>
      <c r="P6" s="1">
        <v>4.8000000000000001E-2</v>
      </c>
      <c r="R6" s="20">
        <f t="shared" si="4"/>
        <v>17.275000000000006</v>
      </c>
      <c r="T6">
        <f t="shared" si="5"/>
        <v>2.3211006363041247E-5</v>
      </c>
      <c r="U6">
        <f t="shared" si="6"/>
        <v>3.2078413900646016E-4</v>
      </c>
      <c r="V6">
        <f t="shared" si="7"/>
        <v>1.0935964799863303E-4</v>
      </c>
      <c r="X6" s="13">
        <v>3</v>
      </c>
      <c r="Y6" s="14">
        <v>31.446520239999998</v>
      </c>
      <c r="Z6" s="15">
        <v>260</v>
      </c>
      <c r="AA6" s="15">
        <v>3.5</v>
      </c>
      <c r="AB6" s="15">
        <v>3.5</v>
      </c>
      <c r="AC6" s="16">
        <v>3.7790000000000012</v>
      </c>
      <c r="AD6" s="17">
        <f t="shared" si="0"/>
        <v>0.59975734508556244</v>
      </c>
      <c r="AE6" s="18">
        <v>1.5904123723478245</v>
      </c>
      <c r="AF6" s="10">
        <v>0.59975734508556244</v>
      </c>
      <c r="AG6" s="10">
        <f t="shared" si="8"/>
        <v>1.5904123723478245</v>
      </c>
      <c r="AJ6">
        <v>0.71154776385014917</v>
      </c>
    </row>
    <row r="7" spans="1:36" x14ac:dyDescent="0.3">
      <c r="A7" s="19">
        <v>225</v>
      </c>
      <c r="B7" s="19">
        <v>3.5</v>
      </c>
      <c r="C7" s="19">
        <v>4.9999999999999991</v>
      </c>
      <c r="D7">
        <v>4</v>
      </c>
      <c r="E7" s="20">
        <v>69.150000000000006</v>
      </c>
      <c r="F7" s="20">
        <v>68.099999999999994</v>
      </c>
      <c r="G7" s="20">
        <f t="shared" si="1"/>
        <v>68.625</v>
      </c>
      <c r="H7" s="1">
        <v>0.33200000000000002</v>
      </c>
      <c r="I7" s="20">
        <v>5.83</v>
      </c>
      <c r="J7" s="20">
        <v>5.77</v>
      </c>
      <c r="K7" s="20">
        <f t="shared" si="2"/>
        <v>5.8</v>
      </c>
      <c r="L7" s="1">
        <v>0.104</v>
      </c>
      <c r="M7" s="20">
        <v>4.63</v>
      </c>
      <c r="N7" s="20">
        <v>4.5599999999999996</v>
      </c>
      <c r="O7" s="20">
        <f t="shared" si="3"/>
        <v>4.5949999999999998</v>
      </c>
      <c r="P7" s="1">
        <v>4.8000000000000001E-2</v>
      </c>
      <c r="R7" s="20">
        <f t="shared" si="4"/>
        <v>20.980000000000004</v>
      </c>
      <c r="T7">
        <f t="shared" si="5"/>
        <v>2.3405151276870354E-5</v>
      </c>
      <c r="U7">
        <f t="shared" si="6"/>
        <v>3.2152199762187868E-4</v>
      </c>
      <c r="V7">
        <f t="shared" si="7"/>
        <v>1.0912178042793833E-4</v>
      </c>
      <c r="X7" s="13">
        <v>4</v>
      </c>
      <c r="Y7" s="14">
        <v>29.444161718750003</v>
      </c>
      <c r="Z7" s="15">
        <v>225</v>
      </c>
      <c r="AA7" s="15">
        <v>3.5</v>
      </c>
      <c r="AB7" s="15">
        <v>4.9999999999999991</v>
      </c>
      <c r="AC7" s="16">
        <v>4.4800000000000004</v>
      </c>
      <c r="AD7" s="17">
        <f t="shared" si="0"/>
        <v>0.66740293401305273</v>
      </c>
      <c r="AE7" s="18">
        <v>1.4891427965166231</v>
      </c>
      <c r="AF7" s="10">
        <v>0.66740293401305273</v>
      </c>
      <c r="AG7" s="10">
        <f t="shared" si="8"/>
        <v>1.4891427965166231</v>
      </c>
      <c r="AJ7">
        <v>0.81145184054360409</v>
      </c>
    </row>
    <row r="8" spans="1:36" x14ac:dyDescent="0.3">
      <c r="A8" s="19">
        <v>225</v>
      </c>
      <c r="B8" s="19">
        <v>1</v>
      </c>
      <c r="C8" s="19">
        <v>3.5</v>
      </c>
      <c r="D8">
        <v>5</v>
      </c>
      <c r="E8" s="20">
        <v>65.17</v>
      </c>
      <c r="F8" s="20">
        <v>65.040000000000006</v>
      </c>
      <c r="G8" s="20">
        <f t="shared" si="1"/>
        <v>65.105000000000004</v>
      </c>
      <c r="H8" s="1">
        <v>0.313</v>
      </c>
      <c r="I8" s="20">
        <v>6.18</v>
      </c>
      <c r="J8" s="20">
        <v>6.15</v>
      </c>
      <c r="K8" s="20">
        <f t="shared" si="2"/>
        <v>6.165</v>
      </c>
      <c r="L8" s="1">
        <v>0.11</v>
      </c>
      <c r="M8" s="20">
        <v>4</v>
      </c>
      <c r="N8" s="20">
        <v>3.99</v>
      </c>
      <c r="O8" s="20">
        <f t="shared" si="3"/>
        <v>3.9950000000000001</v>
      </c>
      <c r="P8" s="1">
        <v>4.2000000000000003E-2</v>
      </c>
      <c r="R8" s="20">
        <f t="shared" si="4"/>
        <v>24.734999999999985</v>
      </c>
      <c r="T8">
        <f t="shared" si="5"/>
        <v>2.3113195280813947E-5</v>
      </c>
      <c r="U8">
        <f t="shared" si="6"/>
        <v>3.1836052224281047E-4</v>
      </c>
      <c r="V8">
        <f t="shared" si="7"/>
        <v>1.1052614265955099E-4</v>
      </c>
      <c r="X8" s="13">
        <v>5</v>
      </c>
      <c r="Y8" s="14">
        <v>27.868544678750002</v>
      </c>
      <c r="Z8" s="15">
        <v>225</v>
      </c>
      <c r="AA8" s="15">
        <v>1</v>
      </c>
      <c r="AB8" s="15">
        <v>3.5</v>
      </c>
      <c r="AC8" s="16">
        <v>5.4200000000000017</v>
      </c>
      <c r="AD8" s="17">
        <f t="shared" si="0"/>
        <v>0.76110890470473869</v>
      </c>
      <c r="AE8" s="18">
        <v>1.4094557336755469</v>
      </c>
      <c r="AF8" s="10">
        <v>0.76110890470473869</v>
      </c>
      <c r="AG8" s="10">
        <f t="shared" si="8"/>
        <v>1.4094557336755469</v>
      </c>
      <c r="AJ8">
        <v>0.74429660945195042</v>
      </c>
    </row>
    <row r="9" spans="1:36" x14ac:dyDescent="0.3">
      <c r="A9" s="19">
        <v>225</v>
      </c>
      <c r="B9" s="19">
        <v>6</v>
      </c>
      <c r="C9" s="19">
        <v>3.5</v>
      </c>
      <c r="D9">
        <v>6</v>
      </c>
      <c r="E9" s="20">
        <v>70.58</v>
      </c>
      <c r="F9" s="20">
        <v>70.17</v>
      </c>
      <c r="G9" s="20">
        <f t="shared" si="1"/>
        <v>70.375</v>
      </c>
      <c r="H9" s="1">
        <v>0.33900000000000002</v>
      </c>
      <c r="I9" s="20">
        <v>6.26</v>
      </c>
      <c r="J9" s="20">
        <v>6.24</v>
      </c>
      <c r="K9" s="20">
        <f t="shared" si="2"/>
        <v>6.25</v>
      </c>
      <c r="L9" s="1">
        <v>0.111</v>
      </c>
      <c r="M9" s="20">
        <v>4.38</v>
      </c>
      <c r="N9" s="20">
        <v>4.3600000000000003</v>
      </c>
      <c r="O9" s="20">
        <f t="shared" si="3"/>
        <v>4.37</v>
      </c>
      <c r="P9" s="1">
        <v>4.5999999999999999E-2</v>
      </c>
      <c r="R9" s="20">
        <f t="shared" si="4"/>
        <v>19.004999999999995</v>
      </c>
      <c r="T9">
        <f t="shared" si="5"/>
        <v>2.320398524776871E-5</v>
      </c>
      <c r="U9">
        <f t="shared" si="6"/>
        <v>3.1541760000000006E-4</v>
      </c>
      <c r="V9">
        <f t="shared" si="7"/>
        <v>1.1080332409972299E-4</v>
      </c>
      <c r="X9" s="13">
        <v>6</v>
      </c>
      <c r="Y9" s="14">
        <v>31.009844218749997</v>
      </c>
      <c r="Z9" s="15">
        <v>225</v>
      </c>
      <c r="AA9" s="15">
        <v>6</v>
      </c>
      <c r="AB9" s="15">
        <v>3.5</v>
      </c>
      <c r="AC9" s="16">
        <v>4.43</v>
      </c>
      <c r="AD9" s="17">
        <f t="shared" si="0"/>
        <v>0.69812002252151373</v>
      </c>
      <c r="AE9" s="18">
        <v>1.5683274185404323</v>
      </c>
      <c r="AF9" s="10">
        <v>0.69812002252151373</v>
      </c>
      <c r="AG9" s="10">
        <f t="shared" si="8"/>
        <v>1.5683274185404323</v>
      </c>
      <c r="AJ9">
        <v>0.81834872494435051</v>
      </c>
    </row>
    <row r="10" spans="1:36" x14ac:dyDescent="0.3">
      <c r="A10" s="19">
        <v>190</v>
      </c>
      <c r="B10" s="19">
        <v>3.5</v>
      </c>
      <c r="C10" s="19">
        <v>3.5</v>
      </c>
      <c r="D10">
        <v>7</v>
      </c>
      <c r="E10" s="20">
        <v>60.93</v>
      </c>
      <c r="F10" s="20">
        <v>60.79</v>
      </c>
      <c r="G10" s="20">
        <f t="shared" si="1"/>
        <v>60.86</v>
      </c>
      <c r="H10" s="1">
        <v>0.29199999999999998</v>
      </c>
      <c r="I10" s="20">
        <v>6.04</v>
      </c>
      <c r="J10" s="20">
        <v>6</v>
      </c>
      <c r="K10" s="20">
        <f t="shared" si="2"/>
        <v>6.02</v>
      </c>
      <c r="L10" s="1">
        <v>0.108</v>
      </c>
      <c r="M10" s="20">
        <v>3.82</v>
      </c>
      <c r="N10" s="20">
        <v>3.78</v>
      </c>
      <c r="O10" s="20">
        <f t="shared" si="3"/>
        <v>3.8</v>
      </c>
      <c r="P10" s="1">
        <v>0.04</v>
      </c>
      <c r="R10" s="20">
        <f t="shared" si="4"/>
        <v>29.320000000000007</v>
      </c>
      <c r="T10">
        <f t="shared" si="5"/>
        <v>2.3019813822018043E-5</v>
      </c>
      <c r="U10">
        <f t="shared" si="6"/>
        <v>3.2185075219920309E-4</v>
      </c>
      <c r="V10">
        <f t="shared" si="7"/>
        <v>1.1080332409972303E-4</v>
      </c>
      <c r="X10" s="13">
        <v>7</v>
      </c>
      <c r="Y10" s="14">
        <v>25.461178220000001</v>
      </c>
      <c r="Z10" s="15">
        <v>190</v>
      </c>
      <c r="AA10" s="15">
        <v>3.5</v>
      </c>
      <c r="AB10" s="15">
        <v>3.5</v>
      </c>
      <c r="AC10" s="16">
        <v>5.9959999999999996</v>
      </c>
      <c r="AD10" s="17">
        <f t="shared" si="0"/>
        <v>0.76757790245648538</v>
      </c>
      <c r="AE10" s="18">
        <v>1.2877028220163085</v>
      </c>
      <c r="AF10" s="10">
        <v>0.76757790245648538</v>
      </c>
      <c r="AG10" s="10">
        <f t="shared" si="8"/>
        <v>1.2877028220163085</v>
      </c>
      <c r="AJ10">
        <v>0.68440977479448872</v>
      </c>
    </row>
    <row r="11" spans="1:36" x14ac:dyDescent="0.3">
      <c r="A11" s="19">
        <v>225</v>
      </c>
      <c r="B11" s="19">
        <v>3.5</v>
      </c>
      <c r="C11" s="19">
        <v>2.0000000000000009</v>
      </c>
      <c r="D11">
        <v>8</v>
      </c>
      <c r="E11" s="20">
        <v>68.34</v>
      </c>
      <c r="F11" s="20">
        <v>67.67</v>
      </c>
      <c r="G11" s="20">
        <f t="shared" si="1"/>
        <v>68.004999999999995</v>
      </c>
      <c r="H11" s="1">
        <v>0.32800000000000001</v>
      </c>
      <c r="I11" s="20">
        <v>5.97</v>
      </c>
      <c r="J11" s="20">
        <v>5.91</v>
      </c>
      <c r="K11" s="20">
        <f t="shared" si="2"/>
        <v>5.9399999999999995</v>
      </c>
      <c r="L11" s="1">
        <v>0.106</v>
      </c>
      <c r="M11" s="20">
        <v>4.7300000000000004</v>
      </c>
      <c r="N11" s="20">
        <v>4.6900000000000004</v>
      </c>
      <c r="O11" s="20">
        <f t="shared" si="3"/>
        <v>4.7100000000000009</v>
      </c>
      <c r="P11" s="1">
        <v>4.9000000000000002E-2</v>
      </c>
      <c r="R11" s="20">
        <f t="shared" si="4"/>
        <v>21.344999999999999</v>
      </c>
      <c r="T11">
        <f t="shared" si="5"/>
        <v>2.3263014828793484E-5</v>
      </c>
      <c r="U11">
        <f t="shared" si="6"/>
        <v>3.1844823090614331E-4</v>
      </c>
      <c r="V11">
        <f t="shared" si="7"/>
        <v>1.0823066971389414E-4</v>
      </c>
      <c r="X11" s="13">
        <v>8</v>
      </c>
      <c r="Y11" s="14">
        <v>29.293488728749995</v>
      </c>
      <c r="Z11" s="15">
        <v>225</v>
      </c>
      <c r="AA11" s="15">
        <v>3.5</v>
      </c>
      <c r="AB11" s="15">
        <v>2.0000000000000009</v>
      </c>
      <c r="AC11" s="16">
        <v>4.3299999999999983</v>
      </c>
      <c r="AD11" s="17">
        <f t="shared" si="0"/>
        <v>0.64194860130464959</v>
      </c>
      <c r="AE11" s="18">
        <v>1.4815224879532025</v>
      </c>
      <c r="AF11" s="10">
        <v>0.64194860130464959</v>
      </c>
      <c r="AG11" s="10">
        <f t="shared" si="8"/>
        <v>1.4815224879532025</v>
      </c>
      <c r="AJ11">
        <v>0.7331618891175129</v>
      </c>
    </row>
    <row r="12" spans="1:36" x14ac:dyDescent="0.3">
      <c r="A12" s="19">
        <v>246.43294549908146</v>
      </c>
      <c r="B12" s="19">
        <v>1.9690753214941825</v>
      </c>
      <c r="C12" s="19">
        <v>2.5814451928965099</v>
      </c>
      <c r="D12">
        <v>9</v>
      </c>
      <c r="E12" s="20">
        <v>70.87</v>
      </c>
      <c r="F12" s="20">
        <v>70.66</v>
      </c>
      <c r="G12" s="20">
        <f t="shared" si="1"/>
        <v>70.765000000000001</v>
      </c>
      <c r="H12" s="1">
        <v>0.34</v>
      </c>
      <c r="I12" s="20">
        <v>6.22</v>
      </c>
      <c r="J12" s="20">
        <v>6.12</v>
      </c>
      <c r="K12" s="20">
        <f t="shared" si="2"/>
        <v>6.17</v>
      </c>
      <c r="L12" s="1">
        <v>0.111</v>
      </c>
      <c r="M12" s="20">
        <v>4.55</v>
      </c>
      <c r="N12" s="20">
        <v>4.51</v>
      </c>
      <c r="O12" s="20">
        <f t="shared" si="3"/>
        <v>4.5299999999999994</v>
      </c>
      <c r="P12" s="1">
        <v>4.7E-2</v>
      </c>
      <c r="R12" s="20">
        <f t="shared" si="4"/>
        <v>18.534999999999997</v>
      </c>
      <c r="T12">
        <f t="shared" si="5"/>
        <v>2.308451805694317E-5</v>
      </c>
      <c r="U12">
        <f t="shared" si="6"/>
        <v>3.2365001352810304E-4</v>
      </c>
      <c r="V12">
        <f t="shared" si="7"/>
        <v>1.076463507935812E-4</v>
      </c>
      <c r="X12" s="13">
        <v>9</v>
      </c>
      <c r="Y12" s="14">
        <v>31.149079108750005</v>
      </c>
      <c r="Z12" s="15">
        <v>246.43294549908146</v>
      </c>
      <c r="AA12" s="15">
        <v>1.9690753214941825</v>
      </c>
      <c r="AB12" s="15">
        <v>2.5814451928965099</v>
      </c>
      <c r="AC12" s="16">
        <v>4.3870000000000005</v>
      </c>
      <c r="AD12" s="17">
        <f t="shared" si="0"/>
        <v>0.68767610659883871</v>
      </c>
      <c r="AE12" s="18">
        <v>1.5753692435191091</v>
      </c>
      <c r="AF12" s="10">
        <v>0.68767610659883871</v>
      </c>
      <c r="AG12" s="10">
        <f t="shared" si="8"/>
        <v>1.5753692435191091</v>
      </c>
      <c r="AJ12">
        <v>0.79083940840526301</v>
      </c>
    </row>
    <row r="13" spans="1:36" s="10" customFormat="1" x14ac:dyDescent="0.3">
      <c r="A13" s="9">
        <v>225</v>
      </c>
      <c r="B13" s="9">
        <v>3.5</v>
      </c>
      <c r="C13" s="9">
        <v>3.5</v>
      </c>
      <c r="D13" s="10">
        <v>10</v>
      </c>
      <c r="E13" s="11">
        <v>68.88</v>
      </c>
      <c r="F13" s="11">
        <v>68.400000000000006</v>
      </c>
      <c r="G13" s="11">
        <f t="shared" si="1"/>
        <v>68.64</v>
      </c>
      <c r="H13" s="12">
        <v>0.33100000000000002</v>
      </c>
      <c r="I13" s="11">
        <v>6.11</v>
      </c>
      <c r="J13" s="11">
        <v>5.97</v>
      </c>
      <c r="K13" s="11">
        <f t="shared" si="2"/>
        <v>6.04</v>
      </c>
      <c r="L13" s="12">
        <v>0.109</v>
      </c>
      <c r="M13" s="11">
        <v>4.38</v>
      </c>
      <c r="N13" s="11">
        <v>4.34</v>
      </c>
      <c r="O13" s="11">
        <f t="shared" si="3"/>
        <v>4.3599999999999994</v>
      </c>
      <c r="P13" s="12">
        <v>4.5999999999999999E-2</v>
      </c>
      <c r="R13" s="11">
        <f t="shared" si="4"/>
        <v>20.959999999999994</v>
      </c>
      <c r="T13" s="10">
        <f t="shared" si="5"/>
        <v>2.3254201849044509E-5</v>
      </c>
      <c r="U13" s="10">
        <f t="shared" si="6"/>
        <v>3.2567102320073683E-4</v>
      </c>
      <c r="V13" s="10">
        <f t="shared" si="7"/>
        <v>1.1131217910950257E-4</v>
      </c>
      <c r="X13" s="21">
        <v>10</v>
      </c>
      <c r="Y13" s="22">
        <v>29.7299088</v>
      </c>
      <c r="Z13" s="23">
        <v>225</v>
      </c>
      <c r="AA13" s="23">
        <v>3.5</v>
      </c>
      <c r="AB13" s="23">
        <v>3.5</v>
      </c>
      <c r="AC13" s="16">
        <v>4.9590000000000014</v>
      </c>
      <c r="AD13" s="16">
        <f t="shared" si="0"/>
        <v>0.74177527963389822</v>
      </c>
      <c r="AE13" s="24">
        <v>1.5035944970518131</v>
      </c>
      <c r="AF13" s="10">
        <v>0.74177527963389822</v>
      </c>
      <c r="AG13" s="10">
        <f t="shared" si="8"/>
        <v>1.5035944970518131</v>
      </c>
      <c r="AJ13" s="10">
        <v>0.80643130868283297</v>
      </c>
    </row>
    <row r="14" spans="1:36" x14ac:dyDescent="0.3">
      <c r="A14" s="19">
        <v>203.56705450091857</v>
      </c>
      <c r="B14" s="19">
        <v>1.9690753214941825</v>
      </c>
      <c r="C14" s="19">
        <v>2.5814451928965099</v>
      </c>
      <c r="D14">
        <v>11</v>
      </c>
      <c r="E14" s="20">
        <v>62.22</v>
      </c>
      <c r="F14" s="20">
        <v>61.76</v>
      </c>
      <c r="G14" s="20">
        <f t="shared" si="1"/>
        <v>61.989999999999995</v>
      </c>
      <c r="H14" s="1">
        <v>0.29899999999999999</v>
      </c>
      <c r="I14" s="20">
        <v>6.19</v>
      </c>
      <c r="J14" s="20">
        <v>6.13</v>
      </c>
      <c r="K14" s="20">
        <f t="shared" si="2"/>
        <v>6.16</v>
      </c>
      <c r="L14" s="1">
        <v>0.11</v>
      </c>
      <c r="M14" s="20">
        <v>3.82</v>
      </c>
      <c r="N14" s="20">
        <v>3.81</v>
      </c>
      <c r="O14" s="20">
        <f t="shared" si="3"/>
        <v>3.8149999999999999</v>
      </c>
      <c r="P14" s="1">
        <v>0.04</v>
      </c>
      <c r="R14" s="20">
        <f t="shared" si="4"/>
        <v>28.035000000000011</v>
      </c>
      <c r="T14">
        <f t="shared" si="5"/>
        <v>2.3264788244262244E-5</v>
      </c>
      <c r="U14">
        <f t="shared" si="6"/>
        <v>3.1887755102040814E-4</v>
      </c>
      <c r="V14">
        <f t="shared" si="7"/>
        <v>1.0993371340624458E-4</v>
      </c>
      <c r="X14" s="13">
        <v>11</v>
      </c>
      <c r="Y14" s="14">
        <v>26.174233434999998</v>
      </c>
      <c r="Z14" s="15">
        <v>203.56705450091857</v>
      </c>
      <c r="AA14" s="15">
        <v>1.9690753214941825</v>
      </c>
      <c r="AB14" s="15">
        <v>2.5814451928965099</v>
      </c>
      <c r="AC14" s="16">
        <v>5.7339999999999991</v>
      </c>
      <c r="AD14" s="17">
        <f t="shared" si="0"/>
        <v>0.7563998495092672</v>
      </c>
      <c r="AE14" s="18">
        <v>1.3237656940749032</v>
      </c>
      <c r="AF14" s="10">
        <v>0.7563998495092672</v>
      </c>
      <c r="AG14" s="10">
        <f t="shared" si="8"/>
        <v>1.3237656940749032</v>
      </c>
      <c r="AJ14">
        <v>0.76983541274511802</v>
      </c>
    </row>
    <row r="15" spans="1:36" s="10" customFormat="1" x14ac:dyDescent="0.3">
      <c r="A15" s="9">
        <v>225</v>
      </c>
      <c r="B15" s="9">
        <v>3.5</v>
      </c>
      <c r="C15" s="9">
        <v>3.5</v>
      </c>
      <c r="D15" s="10">
        <v>12</v>
      </c>
      <c r="E15" s="11">
        <v>68.84</v>
      </c>
      <c r="F15" s="11">
        <v>68.69</v>
      </c>
      <c r="G15" s="11">
        <f t="shared" si="1"/>
        <v>68.765000000000001</v>
      </c>
      <c r="H15" s="12">
        <v>0.33</v>
      </c>
      <c r="I15" s="11">
        <v>6.03</v>
      </c>
      <c r="J15" s="11">
        <v>6.02</v>
      </c>
      <c r="K15" s="11">
        <f t="shared" si="2"/>
        <v>6.0250000000000004</v>
      </c>
      <c r="L15" s="12">
        <v>0.107</v>
      </c>
      <c r="M15" s="11">
        <v>4.41</v>
      </c>
      <c r="N15" s="11">
        <v>4.37</v>
      </c>
      <c r="O15" s="11">
        <f t="shared" si="3"/>
        <v>4.3900000000000006</v>
      </c>
      <c r="P15" s="12">
        <v>4.5999999999999999E-2</v>
      </c>
      <c r="R15" s="11">
        <f t="shared" si="4"/>
        <v>20.819999999999993</v>
      </c>
      <c r="T15" s="10">
        <f t="shared" si="5"/>
        <v>2.3029949471201754E-5</v>
      </c>
      <c r="U15" s="10">
        <f t="shared" si="6"/>
        <v>3.153940186980251E-4</v>
      </c>
      <c r="V15" s="10">
        <f t="shared" si="7"/>
        <v>1.0979602638010385E-4</v>
      </c>
      <c r="X15" s="21">
        <v>12</v>
      </c>
      <c r="Y15" s="22">
        <v>29.78510674875</v>
      </c>
      <c r="Z15" s="23">
        <v>225</v>
      </c>
      <c r="AA15" s="23">
        <v>3.5</v>
      </c>
      <c r="AB15" s="23">
        <v>3.5</v>
      </c>
      <c r="AC15" s="16">
        <v>4.7799999999999994</v>
      </c>
      <c r="AD15" s="16">
        <f t="shared" si="0"/>
        <v>0.72207438386588008</v>
      </c>
      <c r="AE15" s="24">
        <v>1.5063861414038822</v>
      </c>
      <c r="AF15" s="10">
        <v>0.72207438386588008</v>
      </c>
      <c r="AG15" s="10">
        <f t="shared" si="8"/>
        <v>1.5063861414038822</v>
      </c>
      <c r="AJ15" s="10">
        <v>0.75685563151838686</v>
      </c>
    </row>
    <row r="16" spans="1:36" x14ac:dyDescent="0.3">
      <c r="A16" s="19">
        <v>203.56705450091857</v>
      </c>
      <c r="B16" s="19">
        <v>5.0309246785058175</v>
      </c>
      <c r="C16" s="19">
        <v>2.5814451928965099</v>
      </c>
      <c r="D16">
        <v>13</v>
      </c>
      <c r="E16" s="20">
        <v>63.53</v>
      </c>
      <c r="F16" s="20">
        <v>62.51</v>
      </c>
      <c r="G16" s="20">
        <f t="shared" si="1"/>
        <v>63.019999999999996</v>
      </c>
      <c r="H16" s="1">
        <v>0.30499999999999999</v>
      </c>
      <c r="I16" s="20">
        <v>6.17</v>
      </c>
      <c r="J16" s="20">
        <v>6.12</v>
      </c>
      <c r="K16" s="20">
        <f t="shared" si="2"/>
        <v>6.1449999999999996</v>
      </c>
      <c r="L16" s="1">
        <v>0.11</v>
      </c>
      <c r="M16" s="20">
        <v>4.0199999999999996</v>
      </c>
      <c r="N16" s="20">
        <v>3.96</v>
      </c>
      <c r="O16" s="20">
        <f t="shared" si="3"/>
        <v>3.9899999999999998</v>
      </c>
      <c r="P16" s="1">
        <v>4.2000000000000003E-2</v>
      </c>
      <c r="R16" s="20">
        <f t="shared" si="4"/>
        <v>26.845000000000013</v>
      </c>
      <c r="T16">
        <f t="shared" si="5"/>
        <v>2.342301955694348E-5</v>
      </c>
      <c r="U16">
        <f t="shared" si="6"/>
        <v>3.2043621697239421E-4</v>
      </c>
      <c r="V16">
        <f t="shared" si="7"/>
        <v>1.1080332409972303E-4</v>
      </c>
      <c r="X16" s="13">
        <v>13</v>
      </c>
      <c r="Y16" s="14">
        <v>26.725201899999995</v>
      </c>
      <c r="Z16" s="15">
        <v>203.56705450091857</v>
      </c>
      <c r="AA16" s="15">
        <v>5.0309246785058175</v>
      </c>
      <c r="AB16" s="15">
        <v>2.5814451928965099</v>
      </c>
      <c r="AC16" s="16">
        <v>5.2590000000000003</v>
      </c>
      <c r="AD16" s="17">
        <f t="shared" si="0"/>
        <v>0.70989987568290958</v>
      </c>
      <c r="AE16" s="18">
        <v>1.3516310049844034</v>
      </c>
      <c r="AF16" s="10">
        <v>0.70989987568290958</v>
      </c>
      <c r="AG16" s="10">
        <f t="shared" si="8"/>
        <v>1.3516310049844034</v>
      </c>
      <c r="AJ16">
        <v>0.73044528072227299</v>
      </c>
    </row>
    <row r="17" spans="1:36" x14ac:dyDescent="0.3">
      <c r="A17" s="19">
        <v>203.56705450091857</v>
      </c>
      <c r="B17" s="19">
        <v>5.0309246785058175</v>
      </c>
      <c r="C17" s="19">
        <v>4.4185548071034901</v>
      </c>
      <c r="D17">
        <v>14</v>
      </c>
      <c r="E17" s="20">
        <v>65.38</v>
      </c>
      <c r="F17" s="20">
        <v>65.150000000000006</v>
      </c>
      <c r="G17" s="20">
        <f t="shared" si="1"/>
        <v>65.265000000000001</v>
      </c>
      <c r="H17" s="1">
        <v>0.314</v>
      </c>
      <c r="I17" s="20">
        <v>6.07</v>
      </c>
      <c r="J17" s="20">
        <v>5.99</v>
      </c>
      <c r="K17" s="20">
        <f t="shared" si="2"/>
        <v>6.03</v>
      </c>
      <c r="L17" s="1">
        <v>0.108</v>
      </c>
      <c r="M17" s="20">
        <v>4.0599999999999996</v>
      </c>
      <c r="N17" s="20">
        <v>4.03</v>
      </c>
      <c r="O17" s="20">
        <f t="shared" si="3"/>
        <v>4.0449999999999999</v>
      </c>
      <c r="P17" s="1">
        <v>4.2000000000000003E-2</v>
      </c>
      <c r="R17" s="20">
        <f t="shared" si="4"/>
        <v>24.659999999999997</v>
      </c>
      <c r="T17">
        <f t="shared" si="5"/>
        <v>2.31472078524994E-5</v>
      </c>
      <c r="U17">
        <f t="shared" si="6"/>
        <v>3.2078413900646016E-4</v>
      </c>
      <c r="V17">
        <f t="shared" si="7"/>
        <v>1.0781061635097125E-4</v>
      </c>
      <c r="X17" s="13">
        <v>14</v>
      </c>
      <c r="Y17" s="14">
        <v>27.812466838749998</v>
      </c>
      <c r="Z17" s="15">
        <v>203.56705450091857</v>
      </c>
      <c r="AA17" s="15">
        <v>5.0309246785058175</v>
      </c>
      <c r="AB17" s="15">
        <v>4.4185548071034901</v>
      </c>
      <c r="AC17" s="16">
        <v>4.8610000000000007</v>
      </c>
      <c r="AD17" s="17">
        <f t="shared" si="0"/>
        <v>0.68512803814066914</v>
      </c>
      <c r="AE17" s="18">
        <v>1.4066195886944846</v>
      </c>
      <c r="AF17" s="10">
        <v>0.68512803814066914</v>
      </c>
      <c r="AG17" s="10">
        <f t="shared" si="8"/>
        <v>1.4066195886944846</v>
      </c>
      <c r="AJ17">
        <v>0.81124341452074422</v>
      </c>
    </row>
    <row r="18" spans="1:36" x14ac:dyDescent="0.3">
      <c r="A18" s="19">
        <v>246.43294549908146</v>
      </c>
      <c r="B18" s="19">
        <v>5.0309246785058175</v>
      </c>
      <c r="C18" s="19">
        <v>2.5814451928965099</v>
      </c>
      <c r="D18">
        <v>15</v>
      </c>
      <c r="E18" s="20">
        <v>72.150000000000006</v>
      </c>
      <c r="F18" s="20">
        <v>71.89</v>
      </c>
      <c r="G18" s="20">
        <f t="shared" si="1"/>
        <v>72.02000000000001</v>
      </c>
      <c r="H18" s="1">
        <v>0.34599999999999997</v>
      </c>
      <c r="I18" s="20">
        <v>6.23</v>
      </c>
      <c r="J18" s="20">
        <v>6.19</v>
      </c>
      <c r="K18" s="20">
        <f t="shared" si="2"/>
        <v>6.2100000000000009</v>
      </c>
      <c r="L18" s="1">
        <v>0.111</v>
      </c>
      <c r="M18" s="20">
        <v>4.6100000000000003</v>
      </c>
      <c r="N18" s="20">
        <v>4.57</v>
      </c>
      <c r="O18" s="20">
        <f t="shared" si="3"/>
        <v>4.59</v>
      </c>
      <c r="P18" s="1">
        <v>4.8000000000000001E-2</v>
      </c>
      <c r="R18" s="20">
        <f t="shared" si="4"/>
        <v>17.179999999999978</v>
      </c>
      <c r="T18">
        <f t="shared" si="5"/>
        <v>2.3080539894461412E-5</v>
      </c>
      <c r="U18">
        <f t="shared" si="6"/>
        <v>3.1949403720040137E-4</v>
      </c>
      <c r="V18">
        <f t="shared" si="7"/>
        <v>1.0935964799863303E-4</v>
      </c>
      <c r="W18">
        <f>Table2[[#This Row],[HHV MJ/kg]]/Y24</f>
        <v>1.6162136991321758</v>
      </c>
      <c r="X18" s="13">
        <v>15</v>
      </c>
      <c r="Y18" s="14">
        <v>31.95667846000001</v>
      </c>
      <c r="Z18" s="15">
        <v>246.43294549908146</v>
      </c>
      <c r="AA18" s="15">
        <v>5.0309246785058175</v>
      </c>
      <c r="AB18" s="15">
        <v>2.5814451928965099</v>
      </c>
      <c r="AC18" s="16">
        <v>4.708000000000002</v>
      </c>
      <c r="AD18" s="17">
        <f t="shared" si="0"/>
        <v>0.76091340955142861</v>
      </c>
      <c r="AE18" s="18">
        <v>1.6162136991321758</v>
      </c>
      <c r="AF18" s="10">
        <v>0.76091340955142861</v>
      </c>
      <c r="AG18" s="10">
        <f t="shared" si="8"/>
        <v>1.6162136991321758</v>
      </c>
      <c r="AJ18">
        <v>0.82259205487069453</v>
      </c>
    </row>
    <row r="19" spans="1:36" x14ac:dyDescent="0.3">
      <c r="A19" s="19">
        <v>203.56705450091857</v>
      </c>
      <c r="B19" s="19">
        <v>1.9690753214941825</v>
      </c>
      <c r="C19" s="19">
        <v>4.4185548071034901</v>
      </c>
      <c r="D19">
        <v>16</v>
      </c>
      <c r="E19" s="20">
        <v>63.23</v>
      </c>
      <c r="F19" s="20">
        <v>62.98</v>
      </c>
      <c r="G19" s="20">
        <f t="shared" si="1"/>
        <v>63.104999999999997</v>
      </c>
      <c r="H19" s="1">
        <v>0.30399999999999999</v>
      </c>
      <c r="I19" s="20">
        <v>6.15</v>
      </c>
      <c r="J19" s="20">
        <v>6.11</v>
      </c>
      <c r="K19" s="20">
        <f t="shared" si="2"/>
        <v>6.1300000000000008</v>
      </c>
      <c r="L19" s="1">
        <v>0.109</v>
      </c>
      <c r="M19" s="20">
        <v>3.67</v>
      </c>
      <c r="N19" s="20">
        <v>3.63</v>
      </c>
      <c r="O19" s="20">
        <f t="shared" si="3"/>
        <v>3.65</v>
      </c>
      <c r="P19" s="1">
        <v>3.7999999999999999E-2</v>
      </c>
      <c r="R19" s="20">
        <f t="shared" si="4"/>
        <v>27.114999999999995</v>
      </c>
      <c r="T19">
        <f t="shared" si="5"/>
        <v>2.3207033280965206E-5</v>
      </c>
      <c r="U19">
        <f t="shared" si="6"/>
        <v>3.1617829038584863E-4</v>
      </c>
      <c r="V19">
        <f t="shared" si="7"/>
        <v>1.0838806530305873E-4</v>
      </c>
      <c r="X19" s="13">
        <v>16</v>
      </c>
      <c r="Y19" s="14">
        <v>26.710728518750003</v>
      </c>
      <c r="Z19" s="15">
        <v>203.56705450091857</v>
      </c>
      <c r="AA19" s="15">
        <v>1.9690753214941825</v>
      </c>
      <c r="AB19" s="15">
        <v>4.4185548071034901</v>
      </c>
      <c r="AC19" s="16">
        <v>5.7359999999999989</v>
      </c>
      <c r="AD19" s="17">
        <f t="shared" si="0"/>
        <v>0.77155797376962332</v>
      </c>
      <c r="AE19" s="18">
        <v>1.3508990116053579</v>
      </c>
      <c r="AF19" s="10">
        <v>0.77155797376962332</v>
      </c>
      <c r="AG19" s="10">
        <f t="shared" si="8"/>
        <v>1.3508990116053579</v>
      </c>
      <c r="AJ19">
        <v>0.71338701835706197</v>
      </c>
    </row>
    <row r="20" spans="1:36" x14ac:dyDescent="0.3">
      <c r="A20" s="19">
        <v>246.43294549908146</v>
      </c>
      <c r="B20" s="19">
        <v>1.9690753214941825</v>
      </c>
      <c r="C20" s="19">
        <v>4.4185548071034901</v>
      </c>
      <c r="D20">
        <v>17</v>
      </c>
      <c r="E20" s="20">
        <v>71.09</v>
      </c>
      <c r="F20" s="20">
        <v>70.430000000000007</v>
      </c>
      <c r="G20" s="20">
        <f t="shared" si="1"/>
        <v>70.760000000000005</v>
      </c>
      <c r="H20" s="1">
        <v>0.34100000000000003</v>
      </c>
      <c r="I20" s="20">
        <v>5.9</v>
      </c>
      <c r="J20" s="20">
        <v>5.86</v>
      </c>
      <c r="K20" s="20">
        <f t="shared" si="2"/>
        <v>5.8800000000000008</v>
      </c>
      <c r="L20" s="1">
        <v>0.105</v>
      </c>
      <c r="M20" s="20">
        <v>4.6900000000000004</v>
      </c>
      <c r="N20" s="20">
        <v>4.6100000000000003</v>
      </c>
      <c r="O20" s="20">
        <f t="shared" si="3"/>
        <v>4.6500000000000004</v>
      </c>
      <c r="P20" s="1">
        <v>4.9000000000000002E-2</v>
      </c>
      <c r="R20" s="20">
        <f t="shared" si="4"/>
        <v>18.709999999999994</v>
      </c>
      <c r="T20">
        <f t="shared" si="5"/>
        <v>2.3223790735552721E-5</v>
      </c>
      <c r="U20">
        <f t="shared" si="6"/>
        <v>3.1887755102040803E-4</v>
      </c>
      <c r="V20">
        <f t="shared" si="7"/>
        <v>1.11041738929356E-4</v>
      </c>
      <c r="X20" s="13">
        <v>17</v>
      </c>
      <c r="Y20" s="14">
        <v>30.757923040000009</v>
      </c>
      <c r="Z20" s="15">
        <v>246.43294549908146</v>
      </c>
      <c r="AA20" s="15">
        <v>1.9690753214941825</v>
      </c>
      <c r="AB20" s="15">
        <v>4.4185548071034901</v>
      </c>
      <c r="AC20" s="16">
        <v>4.2950000000000017</v>
      </c>
      <c r="AD20" s="17">
        <f t="shared" si="0"/>
        <v>0.66912808011943381</v>
      </c>
      <c r="AE20" s="18">
        <v>1.5555864679842943</v>
      </c>
      <c r="AF20" s="10">
        <v>0.66912808011943381</v>
      </c>
      <c r="AG20" s="10">
        <f t="shared" si="8"/>
        <v>1.5555864679842943</v>
      </c>
      <c r="AJ20">
        <v>0.79582846023141096</v>
      </c>
    </row>
    <row r="21" spans="1:36" s="10" customFormat="1" x14ac:dyDescent="0.3">
      <c r="A21" s="9">
        <v>225</v>
      </c>
      <c r="B21" s="9">
        <v>3.5</v>
      </c>
      <c r="C21" s="9">
        <v>3.5</v>
      </c>
      <c r="D21" s="10">
        <v>18</v>
      </c>
      <c r="E21" s="11">
        <v>69.13</v>
      </c>
      <c r="F21" s="11">
        <v>69.010000000000005</v>
      </c>
      <c r="G21" s="11">
        <f t="shared" si="1"/>
        <v>69.069999999999993</v>
      </c>
      <c r="H21" s="12">
        <v>0.33200000000000002</v>
      </c>
      <c r="I21" s="11">
        <v>6.06</v>
      </c>
      <c r="J21" s="11">
        <v>6.04</v>
      </c>
      <c r="K21" s="11">
        <f t="shared" si="2"/>
        <v>6.05</v>
      </c>
      <c r="L21" s="12">
        <v>0.108</v>
      </c>
      <c r="M21" s="11">
        <v>4.3499999999999996</v>
      </c>
      <c r="N21" s="11">
        <v>4.33</v>
      </c>
      <c r="O21" s="11">
        <f t="shared" si="3"/>
        <v>4.34</v>
      </c>
      <c r="P21" s="12">
        <v>4.4999999999999998E-2</v>
      </c>
      <c r="R21" s="11">
        <f t="shared" si="4"/>
        <v>20.540000000000006</v>
      </c>
      <c r="T21" s="10">
        <f t="shared" si="5"/>
        <v>2.310453622512871E-5</v>
      </c>
      <c r="U21" s="10">
        <f t="shared" si="6"/>
        <v>3.1866675773512741E-4</v>
      </c>
      <c r="V21" s="10">
        <f t="shared" si="7"/>
        <v>1.075091847352885E-4</v>
      </c>
      <c r="X21" s="21">
        <v>18</v>
      </c>
      <c r="Y21" s="22">
        <v>29.983783594999998</v>
      </c>
      <c r="Z21" s="23">
        <v>225</v>
      </c>
      <c r="AA21" s="23">
        <v>3.5</v>
      </c>
      <c r="AB21" s="23">
        <v>3.5</v>
      </c>
      <c r="AC21" s="16">
        <v>4.950000000000002</v>
      </c>
      <c r="AD21" s="17">
        <f t="shared" si="0"/>
        <v>0.74645480783408169</v>
      </c>
      <c r="AE21" s="24">
        <v>1.516434252036267</v>
      </c>
      <c r="AF21" s="10">
        <v>0.74645480783408169</v>
      </c>
      <c r="AG21" s="10">
        <f t="shared" si="8"/>
        <v>1.516434252036267</v>
      </c>
      <c r="AJ21" s="10">
        <v>0.81275161618837932</v>
      </c>
    </row>
    <row r="22" spans="1:36" s="10" customFormat="1" x14ac:dyDescent="0.3">
      <c r="A22" s="9">
        <v>225</v>
      </c>
      <c r="B22" s="9">
        <v>3.5</v>
      </c>
      <c r="C22" s="9">
        <v>3.5</v>
      </c>
      <c r="D22" s="10">
        <v>19</v>
      </c>
      <c r="E22" s="11">
        <v>69.650000000000006</v>
      </c>
      <c r="F22" s="11">
        <v>69.16</v>
      </c>
      <c r="G22" s="11">
        <f t="shared" si="1"/>
        <v>69.405000000000001</v>
      </c>
      <c r="H22" s="12">
        <v>0.33400000000000002</v>
      </c>
      <c r="I22" s="11">
        <v>6.17</v>
      </c>
      <c r="J22" s="11">
        <v>6.12</v>
      </c>
      <c r="K22" s="11">
        <f t="shared" si="2"/>
        <v>6.1449999999999996</v>
      </c>
      <c r="L22" s="12">
        <v>0.11</v>
      </c>
      <c r="M22" s="11">
        <v>4.3499999999999996</v>
      </c>
      <c r="N22" s="11">
        <v>4.33</v>
      </c>
      <c r="O22" s="11">
        <f t="shared" si="3"/>
        <v>4.34</v>
      </c>
      <c r="P22" s="12">
        <v>4.4999999999999998E-2</v>
      </c>
      <c r="R22" s="11">
        <f t="shared" si="4"/>
        <v>20.11</v>
      </c>
      <c r="T22" s="10">
        <f t="shared" si="5"/>
        <v>2.315855280448095E-5</v>
      </c>
      <c r="U22" s="10">
        <f t="shared" si="6"/>
        <v>3.2043621697239421E-4</v>
      </c>
      <c r="V22" s="10">
        <f t="shared" si="7"/>
        <v>1.075091847352885E-4</v>
      </c>
      <c r="X22" s="21">
        <v>19</v>
      </c>
      <c r="Y22" s="22">
        <v>30.30025050875</v>
      </c>
      <c r="Z22" s="23">
        <v>225</v>
      </c>
      <c r="AA22" s="23">
        <v>3.5</v>
      </c>
      <c r="AB22" s="23">
        <v>3.5</v>
      </c>
      <c r="AC22" s="16">
        <v>4.9950000000000028</v>
      </c>
      <c r="AD22" s="17">
        <f t="shared" si="0"/>
        <v>0.76232804152583955</v>
      </c>
      <c r="AE22" s="24">
        <v>1.5324396126047957</v>
      </c>
      <c r="AF22" s="10">
        <v>0.76232804152583955</v>
      </c>
      <c r="AG22" s="10">
        <f t="shared" si="8"/>
        <v>1.5324396126047957</v>
      </c>
      <c r="AJ22" s="10">
        <v>0.73193740380193295</v>
      </c>
    </row>
    <row r="23" spans="1:36" x14ac:dyDescent="0.3">
      <c r="A23" s="19">
        <v>246.43294549908146</v>
      </c>
      <c r="B23" s="19">
        <v>5.0309246785058175</v>
      </c>
      <c r="C23" s="19">
        <v>4.4185548071034901</v>
      </c>
      <c r="D23">
        <v>20</v>
      </c>
      <c r="E23" s="20">
        <v>70.53</v>
      </c>
      <c r="F23" s="20">
        <v>70.510000000000005</v>
      </c>
      <c r="G23" s="20">
        <f t="shared" si="1"/>
        <v>70.52000000000001</v>
      </c>
      <c r="H23" s="1">
        <v>0.33900000000000002</v>
      </c>
      <c r="I23" s="20">
        <v>5.95</v>
      </c>
      <c r="J23" s="20">
        <v>5.92</v>
      </c>
      <c r="K23" s="20">
        <f t="shared" si="2"/>
        <v>5.9350000000000005</v>
      </c>
      <c r="L23" s="1">
        <v>0.106</v>
      </c>
      <c r="M23" s="20">
        <v>4.67</v>
      </c>
      <c r="N23" s="20">
        <v>4.63</v>
      </c>
      <c r="O23" s="20">
        <f t="shared" si="3"/>
        <v>4.6500000000000004</v>
      </c>
      <c r="P23" s="1">
        <v>4.9000000000000002E-2</v>
      </c>
      <c r="R23" s="20">
        <f t="shared" si="4"/>
        <v>18.894999999999982</v>
      </c>
      <c r="T23">
        <f t="shared" si="5"/>
        <v>2.3108661401616187E-5</v>
      </c>
      <c r="U23">
        <f>(L23/K23)^2</f>
        <v>3.1898501670370318E-4</v>
      </c>
      <c r="V23">
        <f t="shared" si="7"/>
        <v>1.11041738929356E-4</v>
      </c>
      <c r="X23" s="13">
        <v>20</v>
      </c>
      <c r="Y23" s="14">
        <v>30.696913360000007</v>
      </c>
      <c r="Z23" s="15">
        <v>246.43294549908146</v>
      </c>
      <c r="AA23" s="15">
        <v>5.0309246785058175</v>
      </c>
      <c r="AB23" s="15">
        <v>4.4185548071034901</v>
      </c>
      <c r="AC23" s="16">
        <v>4.4149999999999983</v>
      </c>
      <c r="AD23" s="17">
        <f t="shared" si="0"/>
        <v>0.68652758905189004</v>
      </c>
      <c r="AE23" s="18">
        <v>1.5525008944720442</v>
      </c>
      <c r="AF23" s="10">
        <v>0.68652758905189004</v>
      </c>
      <c r="AG23" s="10">
        <f t="shared" si="8"/>
        <v>1.5525008944720442</v>
      </c>
    </row>
    <row r="24" spans="1:36" x14ac:dyDescent="0.3">
      <c r="D24" t="s">
        <v>21</v>
      </c>
      <c r="E24" s="20">
        <v>48.72</v>
      </c>
      <c r="F24" s="20">
        <v>48.48</v>
      </c>
      <c r="G24" s="20">
        <f t="shared" si="1"/>
        <v>48.599999999999994</v>
      </c>
      <c r="H24" s="20">
        <v>0.23400000000000001</v>
      </c>
      <c r="I24" s="1">
        <v>6.54</v>
      </c>
      <c r="J24" s="20">
        <v>6.52</v>
      </c>
      <c r="K24" s="20">
        <f t="shared" si="2"/>
        <v>6.5299999999999994</v>
      </c>
      <c r="L24" s="1">
        <v>0.11899999999999999</v>
      </c>
      <c r="M24" s="1">
        <v>2.88</v>
      </c>
      <c r="N24" s="20">
        <v>2.86</v>
      </c>
      <c r="O24" s="20">
        <f t="shared" si="3"/>
        <v>2.87</v>
      </c>
      <c r="P24" s="1">
        <v>0.03</v>
      </c>
      <c r="R24" s="20">
        <f t="shared" si="4"/>
        <v>42.000000000000007</v>
      </c>
      <c r="T24">
        <f t="shared" si="5"/>
        <v>2.3182441700960231E-5</v>
      </c>
      <c r="U24">
        <f>(L24/K24)^2</f>
        <v>3.3209899415819085E-4</v>
      </c>
      <c r="V24">
        <f t="shared" si="7"/>
        <v>1.0926440772620766E-4</v>
      </c>
      <c r="X24" s="13" t="s">
        <v>22</v>
      </c>
      <c r="Y24" s="14">
        <f>J50</f>
        <v>19.772557599999995</v>
      </c>
      <c r="Z24" s="17"/>
      <c r="AA24" s="17"/>
      <c r="AB24" s="17"/>
      <c r="AC24" s="16"/>
      <c r="AD24" s="17">
        <f t="shared" si="0"/>
        <v>0</v>
      </c>
      <c r="AE24" s="18">
        <v>1</v>
      </c>
      <c r="AG24" s="10">
        <f>(J50/$J$50)</f>
        <v>1</v>
      </c>
    </row>
    <row r="25" spans="1:36" ht="15" thickBot="1" x14ac:dyDescent="0.35">
      <c r="X25" s="25"/>
      <c r="Y25" s="26"/>
      <c r="Z25" s="26"/>
      <c r="AA25" s="26"/>
      <c r="AB25" s="26"/>
      <c r="AC25" s="26"/>
      <c r="AD25" s="26"/>
      <c r="AE25" s="27"/>
    </row>
    <row r="27" spans="1:36" ht="18" x14ac:dyDescent="0.35">
      <c r="E27" s="39" t="s">
        <v>23</v>
      </c>
      <c r="F27" s="39"/>
      <c r="G27" s="39"/>
      <c r="H27" s="39"/>
      <c r="I27" s="39"/>
      <c r="L27" t="s">
        <v>64</v>
      </c>
      <c r="O27" s="34" t="s">
        <v>69</v>
      </c>
      <c r="P27" s="34" t="s">
        <v>70</v>
      </c>
      <c r="Q27" s="34" t="s">
        <v>70</v>
      </c>
      <c r="R27" s="34" t="s">
        <v>70</v>
      </c>
      <c r="S27" s="34"/>
      <c r="T27" s="34" t="s">
        <v>70</v>
      </c>
      <c r="U27" s="34" t="s">
        <v>70</v>
      </c>
      <c r="W27" s="39"/>
      <c r="X27" s="39"/>
      <c r="Y27" s="39"/>
      <c r="Z27" s="39"/>
      <c r="AA27" s="39"/>
      <c r="AD27" s="39"/>
      <c r="AE27" s="39"/>
      <c r="AF27" s="39"/>
      <c r="AG27" s="39"/>
    </row>
    <row r="28" spans="1:36" x14ac:dyDescent="0.3">
      <c r="C28" t="s">
        <v>24</v>
      </c>
      <c r="D28" t="s">
        <v>25</v>
      </c>
      <c r="E28" t="s">
        <v>26</v>
      </c>
      <c r="F28" t="s">
        <v>27</v>
      </c>
      <c r="G28" t="s">
        <v>28</v>
      </c>
      <c r="H28">
        <v>20600</v>
      </c>
      <c r="I28" t="s">
        <v>29</v>
      </c>
      <c r="J28" t="s">
        <v>17</v>
      </c>
      <c r="L28" t="s">
        <v>65</v>
      </c>
      <c r="M28" t="s">
        <v>66</v>
      </c>
      <c r="N28" t="s">
        <v>67</v>
      </c>
      <c r="O28" t="s">
        <v>68</v>
      </c>
      <c r="P28" t="s">
        <v>24</v>
      </c>
      <c r="Q28" t="s">
        <v>25</v>
      </c>
      <c r="R28" t="s">
        <v>26</v>
      </c>
      <c r="S28" t="s">
        <v>71</v>
      </c>
      <c r="T28" t="s">
        <v>27</v>
      </c>
      <c r="U28" t="s">
        <v>28</v>
      </c>
      <c r="W28" t="s">
        <v>72</v>
      </c>
      <c r="X28" t="s">
        <v>73</v>
      </c>
    </row>
    <row r="29" spans="1:36" x14ac:dyDescent="0.3">
      <c r="B29" s="2">
        <f t="shared" ref="B29:B48" si="9">D4</f>
        <v>1</v>
      </c>
      <c r="C29">
        <f t="shared" ref="C29:C48" si="10">3.55*(G4^2)</f>
        <v>16275.486555000003</v>
      </c>
      <c r="D29">
        <f t="shared" ref="D29:D48" si="11">232*G4</f>
        <v>15708.720000000001</v>
      </c>
      <c r="E29">
        <f t="shared" ref="E29:E48" si="12">2230*K4</f>
        <v>12978.6</v>
      </c>
      <c r="F29">
        <f t="shared" ref="F29:F48" si="13">(51.2*G4)*K4</f>
        <v>20176.496640000005</v>
      </c>
      <c r="G29">
        <f t="shared" ref="G29:G48" si="14">131*O4</f>
        <v>603.91</v>
      </c>
      <c r="H29">
        <v>20600</v>
      </c>
      <c r="I29">
        <f>C29-D29-E29+F29+G29+H29</f>
        <v>28968.573195000004</v>
      </c>
      <c r="J29">
        <f>I29/1000</f>
        <v>28.968573195000005</v>
      </c>
      <c r="L29">
        <f>(H4/100)*G4</f>
        <v>0.22141170000000004</v>
      </c>
      <c r="M29">
        <f>(L4/100)*K4</f>
        <v>6.1110000000000001E-3</v>
      </c>
      <c r="N29">
        <f>(P4/100)*O4</f>
        <v>2.2127999999999996E-3</v>
      </c>
      <c r="O29">
        <f>2*L4</f>
        <v>0.21</v>
      </c>
      <c r="P29">
        <f>3.55*((O29/100)*G4)</f>
        <v>0.50477804999999998</v>
      </c>
      <c r="Q29">
        <f>232*L29</f>
        <v>51.367514400000012</v>
      </c>
      <c r="R29">
        <f>2230*M29</f>
        <v>13.62753</v>
      </c>
      <c r="S29" s="1">
        <f>L4+H4</f>
        <v>0.432</v>
      </c>
      <c r="T29">
        <f>F29*(S29/100)</f>
        <v>87.162465484800023</v>
      </c>
      <c r="U29">
        <f>131*N29</f>
        <v>0.28987679999999993</v>
      </c>
      <c r="V29">
        <f>((H4*L4)/100)*G4*K4</f>
        <v>0.13530468986999999</v>
      </c>
      <c r="W29">
        <f>SUM(P29:R29,T29:U29)</f>
        <v>152.95216473480002</v>
      </c>
      <c r="X29">
        <f>W29/10^3</f>
        <v>0.15295216473480003</v>
      </c>
    </row>
    <row r="30" spans="1:36" x14ac:dyDescent="0.3">
      <c r="B30" s="2">
        <f t="shared" si="9"/>
        <v>2</v>
      </c>
      <c r="C30">
        <f t="shared" si="10"/>
        <v>16326.003498749998</v>
      </c>
      <c r="D30">
        <f t="shared" si="11"/>
        <v>15733.08</v>
      </c>
      <c r="E30">
        <f t="shared" si="12"/>
        <v>13279.65</v>
      </c>
      <c r="F30">
        <f t="shared" si="13"/>
        <v>20676.522240000002</v>
      </c>
      <c r="G30">
        <f t="shared" si="14"/>
        <v>579.67499999999995</v>
      </c>
      <c r="H30">
        <v>20600</v>
      </c>
      <c r="I30">
        <f t="shared" ref="I30:I50" si="15">C30-D30-E30+F30+G30+H30</f>
        <v>29169.470738750002</v>
      </c>
      <c r="J30">
        <f t="shared" ref="J30:J50" si="16">I30/1000</f>
        <v>29.16947073875</v>
      </c>
      <c r="L30">
        <f t="shared" ref="L30:L50" si="17">(H5/100)*G5</f>
        <v>0.2224332</v>
      </c>
      <c r="M30">
        <f t="shared" ref="M30:M48" si="18">(L5/100)*K5</f>
        <v>6.3718500000000001E-3</v>
      </c>
      <c r="N30">
        <f t="shared" ref="N30:N49" si="19">(P5/100)*O5</f>
        <v>2.0355E-3</v>
      </c>
      <c r="O30">
        <f t="shared" ref="O30:O49" si="20">2*L5</f>
        <v>0.214</v>
      </c>
      <c r="P30">
        <f t="shared" ref="P30:P49" si="21">3.55*((O30/100)*G5)</f>
        <v>0.51519055499999999</v>
      </c>
      <c r="Q30">
        <f t="shared" ref="Q30:Q49" si="22">232*L30</f>
        <v>51.604502400000001</v>
      </c>
      <c r="R30">
        <f t="shared" ref="R30:R49" si="23">2230*M30</f>
        <v>14.209225500000001</v>
      </c>
      <c r="S30" s="1">
        <f t="shared" ref="S30:S49" si="24">L5+H5</f>
        <v>0.435</v>
      </c>
      <c r="T30">
        <f t="shared" ref="T30:T49" si="25">51.2*(S30/100)*G5*K5</f>
        <v>89.942871744000001</v>
      </c>
      <c r="U30">
        <f t="shared" ref="U30:U49" si="26">131*N30</f>
        <v>0.26665050000000001</v>
      </c>
      <c r="W30">
        <f t="shared" ref="W30:W48" si="27">SUM(P30:R30,T30:U30)</f>
        <v>156.53844069900001</v>
      </c>
      <c r="X30">
        <f t="shared" ref="X30:X48" si="28">W30/10^3</f>
        <v>0.156538440699</v>
      </c>
    </row>
    <row r="31" spans="1:36" x14ac:dyDescent="0.3">
      <c r="B31" s="2">
        <f t="shared" si="9"/>
        <v>3</v>
      </c>
      <c r="C31">
        <f t="shared" si="10"/>
        <v>18628.815279999995</v>
      </c>
      <c r="D31">
        <f t="shared" si="11"/>
        <v>16806.079999999998</v>
      </c>
      <c r="E31">
        <f t="shared" si="12"/>
        <v>12699.85</v>
      </c>
      <c r="F31">
        <f t="shared" si="13"/>
        <v>21122.344960000002</v>
      </c>
      <c r="G31">
        <f t="shared" si="14"/>
        <v>601.29</v>
      </c>
      <c r="H31">
        <v>20600</v>
      </c>
      <c r="I31">
        <f t="shared" si="15"/>
        <v>31446.520239999998</v>
      </c>
      <c r="J31">
        <f t="shared" si="16"/>
        <v>31.446520239999998</v>
      </c>
      <c r="L31">
        <f t="shared" si="17"/>
        <v>0.25281559999999997</v>
      </c>
      <c r="M31">
        <f t="shared" si="18"/>
        <v>5.8088999999999997E-3</v>
      </c>
      <c r="N31">
        <f t="shared" si="19"/>
        <v>2.2031999999999998E-3</v>
      </c>
      <c r="O31">
        <f t="shared" si="20"/>
        <v>0.20399999999999999</v>
      </c>
      <c r="P31">
        <f t="shared" si="21"/>
        <v>0.52461047999999988</v>
      </c>
      <c r="Q31">
        <f t="shared" si="22"/>
        <v>58.653219199999995</v>
      </c>
      <c r="R31">
        <f t="shared" si="23"/>
        <v>12.953847</v>
      </c>
      <c r="S31" s="1">
        <f t="shared" si="24"/>
        <v>0.45099999999999996</v>
      </c>
      <c r="T31">
        <f t="shared" si="25"/>
        <v>95.261775769599993</v>
      </c>
      <c r="U31">
        <f t="shared" si="26"/>
        <v>0.28861919999999996</v>
      </c>
      <c r="W31">
        <f t="shared" si="27"/>
        <v>167.68207164959998</v>
      </c>
      <c r="X31">
        <f t="shared" si="28"/>
        <v>0.16768207164959997</v>
      </c>
    </row>
    <row r="32" spans="1:36" x14ac:dyDescent="0.3">
      <c r="B32" s="2">
        <f t="shared" si="9"/>
        <v>4</v>
      </c>
      <c r="C32">
        <f t="shared" si="10"/>
        <v>16718.336718750001</v>
      </c>
      <c r="D32">
        <f t="shared" si="11"/>
        <v>15921</v>
      </c>
      <c r="E32">
        <f t="shared" si="12"/>
        <v>12934</v>
      </c>
      <c r="F32">
        <f t="shared" si="13"/>
        <v>20378.88</v>
      </c>
      <c r="G32">
        <f t="shared" si="14"/>
        <v>601.94499999999994</v>
      </c>
      <c r="H32">
        <v>20600</v>
      </c>
      <c r="I32">
        <f t="shared" si="15"/>
        <v>29444.161718750001</v>
      </c>
      <c r="J32">
        <f t="shared" si="16"/>
        <v>29.444161718750003</v>
      </c>
      <c r="L32">
        <f t="shared" si="17"/>
        <v>0.22783500000000001</v>
      </c>
      <c r="M32">
        <f t="shared" si="18"/>
        <v>6.0319999999999992E-3</v>
      </c>
      <c r="N32">
        <f t="shared" si="19"/>
        <v>2.2055999999999998E-3</v>
      </c>
      <c r="O32">
        <f t="shared" si="20"/>
        <v>0.20799999999999999</v>
      </c>
      <c r="P32">
        <f t="shared" si="21"/>
        <v>0.50672699999999993</v>
      </c>
      <c r="Q32">
        <f t="shared" si="22"/>
        <v>52.85772</v>
      </c>
      <c r="R32">
        <f t="shared" si="23"/>
        <v>13.451359999999998</v>
      </c>
      <c r="S32" s="1">
        <f t="shared" si="24"/>
        <v>0.436</v>
      </c>
      <c r="T32">
        <f t="shared" si="25"/>
        <v>88.851916800000012</v>
      </c>
      <c r="U32">
        <f t="shared" si="26"/>
        <v>0.28893359999999996</v>
      </c>
      <c r="W32">
        <f t="shared" si="27"/>
        <v>155.95665740000001</v>
      </c>
      <c r="X32">
        <f t="shared" si="28"/>
        <v>0.1559566574</v>
      </c>
    </row>
    <row r="33" spans="2:24" x14ac:dyDescent="0.3">
      <c r="B33" s="2">
        <f t="shared" si="9"/>
        <v>5</v>
      </c>
      <c r="C33">
        <f t="shared" si="10"/>
        <v>15047.246638750001</v>
      </c>
      <c r="D33">
        <f t="shared" si="11"/>
        <v>15104.36</v>
      </c>
      <c r="E33">
        <f t="shared" si="12"/>
        <v>13747.95</v>
      </c>
      <c r="F33">
        <f t="shared" si="13"/>
        <v>20550.263040000002</v>
      </c>
      <c r="G33">
        <f t="shared" si="14"/>
        <v>523.34500000000003</v>
      </c>
      <c r="H33">
        <v>20600</v>
      </c>
      <c r="I33">
        <f t="shared" si="15"/>
        <v>27868.54467875</v>
      </c>
      <c r="J33">
        <f t="shared" si="16"/>
        <v>27.868544678750002</v>
      </c>
      <c r="L33">
        <f t="shared" si="17"/>
        <v>0.20377865000000001</v>
      </c>
      <c r="M33">
        <f t="shared" si="18"/>
        <v>6.7815000000000002E-3</v>
      </c>
      <c r="N33">
        <f t="shared" si="19"/>
        <v>1.6779000000000002E-3</v>
      </c>
      <c r="O33">
        <f t="shared" si="20"/>
        <v>0.22</v>
      </c>
      <c r="P33">
        <f t="shared" si="21"/>
        <v>0.50847005000000012</v>
      </c>
      <c r="Q33">
        <f t="shared" si="22"/>
        <v>47.276646800000002</v>
      </c>
      <c r="R33">
        <f t="shared" si="23"/>
        <v>15.122745</v>
      </c>
      <c r="S33" s="1">
        <f t="shared" si="24"/>
        <v>0.42299999999999999</v>
      </c>
      <c r="T33">
        <f t="shared" si="25"/>
        <v>86.927612659200008</v>
      </c>
      <c r="U33">
        <f t="shared" si="26"/>
        <v>0.21980490000000003</v>
      </c>
      <c r="W33">
        <f t="shared" si="27"/>
        <v>150.05527940920004</v>
      </c>
      <c r="X33">
        <f t="shared" si="28"/>
        <v>0.15005527940920005</v>
      </c>
    </row>
    <row r="34" spans="2:24" x14ac:dyDescent="0.3">
      <c r="B34" s="2">
        <f t="shared" si="9"/>
        <v>6</v>
      </c>
      <c r="C34">
        <f t="shared" si="10"/>
        <v>17581.874218749999</v>
      </c>
      <c r="D34">
        <f t="shared" si="11"/>
        <v>16327</v>
      </c>
      <c r="E34">
        <f t="shared" si="12"/>
        <v>13937.5</v>
      </c>
      <c r="F34">
        <f t="shared" si="13"/>
        <v>22520</v>
      </c>
      <c r="G34">
        <f t="shared" si="14"/>
        <v>572.47</v>
      </c>
      <c r="H34">
        <v>20600</v>
      </c>
      <c r="I34">
        <f t="shared" si="15"/>
        <v>31009.844218749997</v>
      </c>
      <c r="J34">
        <f t="shared" si="16"/>
        <v>31.009844218749997</v>
      </c>
      <c r="L34">
        <f t="shared" si="17"/>
        <v>0.23857125000000001</v>
      </c>
      <c r="M34">
        <f t="shared" si="18"/>
        <v>6.937500000000001E-3</v>
      </c>
      <c r="N34">
        <f t="shared" si="19"/>
        <v>2.0102000000000002E-3</v>
      </c>
      <c r="O34">
        <f t="shared" si="20"/>
        <v>0.222</v>
      </c>
      <c r="P34">
        <f t="shared" si="21"/>
        <v>0.55462537500000009</v>
      </c>
      <c r="Q34">
        <f t="shared" si="22"/>
        <v>55.348530000000004</v>
      </c>
      <c r="R34">
        <f t="shared" si="23"/>
        <v>15.470625000000002</v>
      </c>
      <c r="S34" s="1">
        <f t="shared" si="24"/>
        <v>0.45</v>
      </c>
      <c r="T34">
        <f t="shared" si="25"/>
        <v>101.34000000000003</v>
      </c>
      <c r="U34">
        <f t="shared" si="26"/>
        <v>0.26333620000000002</v>
      </c>
      <c r="W34">
        <f t="shared" si="27"/>
        <v>172.97711657500005</v>
      </c>
      <c r="X34">
        <f t="shared" si="28"/>
        <v>0.17297711657500006</v>
      </c>
    </row>
    <row r="35" spans="2:24" x14ac:dyDescent="0.3">
      <c r="B35" s="2">
        <f t="shared" si="9"/>
        <v>7</v>
      </c>
      <c r="C35">
        <f t="shared" si="10"/>
        <v>13148.98558</v>
      </c>
      <c r="D35">
        <f t="shared" si="11"/>
        <v>14119.52</v>
      </c>
      <c r="E35">
        <f t="shared" si="12"/>
        <v>13424.599999999999</v>
      </c>
      <c r="F35">
        <f t="shared" si="13"/>
        <v>18758.512640000001</v>
      </c>
      <c r="G35">
        <f t="shared" si="14"/>
        <v>497.79999999999995</v>
      </c>
      <c r="H35">
        <v>20600</v>
      </c>
      <c r="I35">
        <f t="shared" si="15"/>
        <v>25461.178220000002</v>
      </c>
      <c r="J35">
        <f t="shared" si="16"/>
        <v>25.461178220000001</v>
      </c>
      <c r="L35">
        <f t="shared" si="17"/>
        <v>0.17771119999999999</v>
      </c>
      <c r="M35">
        <f t="shared" si="18"/>
        <v>6.5015999999999997E-3</v>
      </c>
      <c r="N35">
        <f t="shared" si="19"/>
        <v>1.5200000000000001E-3</v>
      </c>
      <c r="O35">
        <f t="shared" si="20"/>
        <v>0.216</v>
      </c>
      <c r="P35">
        <f t="shared" si="21"/>
        <v>0.46667448</v>
      </c>
      <c r="Q35">
        <f t="shared" si="22"/>
        <v>41.228998399999995</v>
      </c>
      <c r="R35">
        <f t="shared" si="23"/>
        <v>14.498567999999999</v>
      </c>
      <c r="S35" s="1">
        <f t="shared" si="24"/>
        <v>0.39999999999999997</v>
      </c>
      <c r="T35">
        <f t="shared" si="25"/>
        <v>75.034050559999997</v>
      </c>
      <c r="U35">
        <f t="shared" si="26"/>
        <v>0.19912000000000002</v>
      </c>
      <c r="W35">
        <f t="shared" si="27"/>
        <v>131.42741143999999</v>
      </c>
      <c r="X35">
        <f t="shared" si="28"/>
        <v>0.13142741143999997</v>
      </c>
    </row>
    <row r="36" spans="2:24" x14ac:dyDescent="0.3">
      <c r="B36" s="2">
        <f t="shared" si="9"/>
        <v>8</v>
      </c>
      <c r="C36">
        <f t="shared" si="10"/>
        <v>16417.614088749997</v>
      </c>
      <c r="D36">
        <f t="shared" si="11"/>
        <v>15777.16</v>
      </c>
      <c r="E36">
        <f t="shared" si="12"/>
        <v>13246.199999999999</v>
      </c>
      <c r="F36">
        <f t="shared" si="13"/>
        <v>20682.224639999997</v>
      </c>
      <c r="G36">
        <f t="shared" si="14"/>
        <v>617.0100000000001</v>
      </c>
      <c r="H36">
        <v>20600</v>
      </c>
      <c r="I36">
        <f t="shared" si="15"/>
        <v>29293.488728749995</v>
      </c>
      <c r="J36">
        <f t="shared" si="16"/>
        <v>29.293488728749995</v>
      </c>
      <c r="L36">
        <f t="shared" si="17"/>
        <v>0.22305639999999999</v>
      </c>
      <c r="M36">
        <f t="shared" si="18"/>
        <v>6.2963999999999989E-3</v>
      </c>
      <c r="N36">
        <f t="shared" si="19"/>
        <v>2.3079000000000003E-3</v>
      </c>
      <c r="O36">
        <f t="shared" si="20"/>
        <v>0.21199999999999999</v>
      </c>
      <c r="P36">
        <f t="shared" si="21"/>
        <v>0.5118056299999999</v>
      </c>
      <c r="Q36">
        <f t="shared" si="22"/>
        <v>51.749084799999999</v>
      </c>
      <c r="R36">
        <f t="shared" si="23"/>
        <v>14.040971999999998</v>
      </c>
      <c r="S36" s="1">
        <f t="shared" si="24"/>
        <v>0.434</v>
      </c>
      <c r="T36">
        <f t="shared" si="25"/>
        <v>89.760854937599987</v>
      </c>
      <c r="U36">
        <f t="shared" si="26"/>
        <v>0.30233490000000002</v>
      </c>
      <c r="W36">
        <f t="shared" si="27"/>
        <v>156.36505226759999</v>
      </c>
      <c r="X36">
        <f t="shared" si="28"/>
        <v>0.1563650522676</v>
      </c>
    </row>
    <row r="37" spans="2:24" x14ac:dyDescent="0.3">
      <c r="B37" s="2">
        <f t="shared" si="9"/>
        <v>9</v>
      </c>
      <c r="C37">
        <f t="shared" si="10"/>
        <v>17777.282548750001</v>
      </c>
      <c r="D37">
        <f t="shared" si="11"/>
        <v>16417.48</v>
      </c>
      <c r="E37">
        <f t="shared" si="12"/>
        <v>13759.1</v>
      </c>
      <c r="F37">
        <f t="shared" si="13"/>
        <v>22354.94656</v>
      </c>
      <c r="G37">
        <f t="shared" si="14"/>
        <v>593.42999999999995</v>
      </c>
      <c r="H37">
        <v>20600</v>
      </c>
      <c r="I37">
        <f t="shared" si="15"/>
        <v>31149.079108750004</v>
      </c>
      <c r="J37">
        <f t="shared" si="16"/>
        <v>31.149079108750005</v>
      </c>
      <c r="L37">
        <f t="shared" si="17"/>
        <v>0.24060100000000001</v>
      </c>
      <c r="M37">
        <f t="shared" si="18"/>
        <v>6.8487000000000001E-3</v>
      </c>
      <c r="N37">
        <f t="shared" si="19"/>
        <v>2.1290999999999997E-3</v>
      </c>
      <c r="O37">
        <f t="shared" si="20"/>
        <v>0.222</v>
      </c>
      <c r="P37">
        <f t="shared" si="21"/>
        <v>0.55769896500000005</v>
      </c>
      <c r="Q37">
        <f t="shared" si="22"/>
        <v>55.819431999999999</v>
      </c>
      <c r="R37">
        <f t="shared" si="23"/>
        <v>15.272601</v>
      </c>
      <c r="S37" s="1">
        <f t="shared" si="24"/>
        <v>0.45100000000000001</v>
      </c>
      <c r="T37">
        <f t="shared" si="25"/>
        <v>100.8208089856</v>
      </c>
      <c r="U37">
        <f t="shared" si="26"/>
        <v>0.27891209999999994</v>
      </c>
      <c r="W37">
        <f t="shared" si="27"/>
        <v>172.74945305060001</v>
      </c>
      <c r="X37">
        <f t="shared" si="28"/>
        <v>0.17274945305060002</v>
      </c>
    </row>
    <row r="38" spans="2:24" x14ac:dyDescent="0.3">
      <c r="B38" s="2">
        <f t="shared" si="9"/>
        <v>10</v>
      </c>
      <c r="C38">
        <f t="shared" si="10"/>
        <v>16725.646079999999</v>
      </c>
      <c r="D38">
        <f t="shared" si="11"/>
        <v>15924.48</v>
      </c>
      <c r="E38">
        <f t="shared" si="12"/>
        <v>13469.2</v>
      </c>
      <c r="F38">
        <f t="shared" si="13"/>
        <v>21226.782720000003</v>
      </c>
      <c r="G38">
        <f t="shared" si="14"/>
        <v>571.16</v>
      </c>
      <c r="H38">
        <v>20600</v>
      </c>
      <c r="I38">
        <f t="shared" si="15"/>
        <v>29729.908800000001</v>
      </c>
      <c r="J38">
        <f t="shared" si="16"/>
        <v>29.7299088</v>
      </c>
      <c r="L38">
        <f t="shared" si="17"/>
        <v>0.22719839999999999</v>
      </c>
      <c r="M38">
        <f t="shared" si="18"/>
        <v>6.5836000000000002E-3</v>
      </c>
      <c r="N38">
        <f t="shared" si="19"/>
        <v>2.0055999999999997E-3</v>
      </c>
      <c r="O38">
        <f t="shared" si="20"/>
        <v>0.218</v>
      </c>
      <c r="P38">
        <f t="shared" si="21"/>
        <v>0.53120495999999995</v>
      </c>
      <c r="Q38">
        <f t="shared" si="22"/>
        <v>52.710028799999996</v>
      </c>
      <c r="R38">
        <f t="shared" si="23"/>
        <v>14.681428</v>
      </c>
      <c r="S38" s="1">
        <f t="shared" si="24"/>
        <v>0.44</v>
      </c>
      <c r="T38">
        <f t="shared" si="25"/>
        <v>93.397843968000018</v>
      </c>
      <c r="U38">
        <f t="shared" si="26"/>
        <v>0.26273359999999996</v>
      </c>
      <c r="W38">
        <f t="shared" si="27"/>
        <v>161.58323932799999</v>
      </c>
      <c r="X38">
        <f t="shared" si="28"/>
        <v>0.16158323932799998</v>
      </c>
    </row>
    <row r="39" spans="2:24" x14ac:dyDescent="0.3">
      <c r="B39" s="2">
        <f t="shared" si="9"/>
        <v>11</v>
      </c>
      <c r="C39">
        <f t="shared" si="10"/>
        <v>13641.798354999997</v>
      </c>
      <c r="D39">
        <f t="shared" si="11"/>
        <v>14381.679999999998</v>
      </c>
      <c r="E39">
        <f t="shared" si="12"/>
        <v>13736.800000000001</v>
      </c>
      <c r="F39">
        <f t="shared" si="13"/>
        <v>19551.150079999999</v>
      </c>
      <c r="G39">
        <f t="shared" si="14"/>
        <v>499.76499999999999</v>
      </c>
      <c r="H39">
        <v>20600</v>
      </c>
      <c r="I39">
        <f t="shared" si="15"/>
        <v>26174.233434999998</v>
      </c>
      <c r="J39">
        <f t="shared" si="16"/>
        <v>26.174233434999998</v>
      </c>
      <c r="L39">
        <f t="shared" si="17"/>
        <v>0.18535009999999999</v>
      </c>
      <c r="M39">
        <f t="shared" si="18"/>
        <v>6.7760000000000008E-3</v>
      </c>
      <c r="N39">
        <f t="shared" si="19"/>
        <v>1.526E-3</v>
      </c>
      <c r="O39">
        <f t="shared" si="20"/>
        <v>0.22</v>
      </c>
      <c r="P39">
        <f t="shared" si="21"/>
        <v>0.48414189999999996</v>
      </c>
      <c r="Q39">
        <f t="shared" si="22"/>
        <v>43.001223199999998</v>
      </c>
      <c r="R39">
        <f t="shared" si="23"/>
        <v>15.110480000000003</v>
      </c>
      <c r="S39" s="1">
        <f t="shared" si="24"/>
        <v>0.40899999999999997</v>
      </c>
      <c r="T39">
        <f t="shared" si="25"/>
        <v>79.964203827200009</v>
      </c>
      <c r="U39">
        <f t="shared" si="26"/>
        <v>0.199906</v>
      </c>
      <c r="W39">
        <f t="shared" si="27"/>
        <v>138.7599549272</v>
      </c>
      <c r="X39">
        <f t="shared" si="28"/>
        <v>0.1387599549272</v>
      </c>
    </row>
    <row r="40" spans="2:24" x14ac:dyDescent="0.3">
      <c r="B40" s="2">
        <f t="shared" si="9"/>
        <v>12</v>
      </c>
      <c r="C40">
        <f t="shared" si="10"/>
        <v>16786.619548749997</v>
      </c>
      <c r="D40">
        <f t="shared" si="11"/>
        <v>15953.48</v>
      </c>
      <c r="E40">
        <f t="shared" si="12"/>
        <v>13435.75</v>
      </c>
      <c r="F40">
        <f t="shared" si="13"/>
        <v>21212.627200000003</v>
      </c>
      <c r="G40">
        <f t="shared" si="14"/>
        <v>575.09</v>
      </c>
      <c r="H40">
        <v>20600</v>
      </c>
      <c r="I40">
        <f t="shared" si="15"/>
        <v>29785.10674875</v>
      </c>
      <c r="J40">
        <f t="shared" si="16"/>
        <v>29.78510674875</v>
      </c>
      <c r="L40">
        <f t="shared" si="17"/>
        <v>0.2269245</v>
      </c>
      <c r="M40">
        <f t="shared" si="18"/>
        <v>6.4467500000000002E-3</v>
      </c>
      <c r="N40">
        <f t="shared" si="19"/>
        <v>2.0194000000000002E-3</v>
      </c>
      <c r="O40">
        <f t="shared" si="20"/>
        <v>0.214</v>
      </c>
      <c r="P40">
        <f t="shared" si="21"/>
        <v>0.522407705</v>
      </c>
      <c r="Q40">
        <f t="shared" si="22"/>
        <v>52.646484000000001</v>
      </c>
      <c r="R40">
        <f t="shared" si="23"/>
        <v>14.3762525</v>
      </c>
      <c r="S40" s="1">
        <f t="shared" si="24"/>
        <v>0.437</v>
      </c>
      <c r="T40">
        <f t="shared" si="25"/>
        <v>92.699180863999999</v>
      </c>
      <c r="U40">
        <f t="shared" si="26"/>
        <v>0.26454140000000004</v>
      </c>
      <c r="W40">
        <f t="shared" si="27"/>
        <v>160.50886646900003</v>
      </c>
      <c r="X40">
        <f t="shared" si="28"/>
        <v>0.16050886646900003</v>
      </c>
    </row>
    <row r="41" spans="2:24" x14ac:dyDescent="0.3">
      <c r="B41" s="2">
        <f t="shared" si="9"/>
        <v>13</v>
      </c>
      <c r="C41">
        <f t="shared" si="10"/>
        <v>14098.897419999998</v>
      </c>
      <c r="D41">
        <f t="shared" si="11"/>
        <v>14620.64</v>
      </c>
      <c r="E41">
        <f t="shared" si="12"/>
        <v>13703.349999999999</v>
      </c>
      <c r="F41">
        <f t="shared" si="13"/>
        <v>19827.604479999998</v>
      </c>
      <c r="G41">
        <f t="shared" si="14"/>
        <v>522.68999999999994</v>
      </c>
      <c r="H41">
        <v>20600</v>
      </c>
      <c r="I41">
        <f t="shared" si="15"/>
        <v>26725.201899999996</v>
      </c>
      <c r="J41">
        <f t="shared" si="16"/>
        <v>26.725201899999995</v>
      </c>
      <c r="L41">
        <f t="shared" si="17"/>
        <v>0.19221099999999997</v>
      </c>
      <c r="M41">
        <f t="shared" si="18"/>
        <v>6.7594999999999999E-3</v>
      </c>
      <c r="N41">
        <f t="shared" si="19"/>
        <v>1.6758000000000001E-3</v>
      </c>
      <c r="O41">
        <f t="shared" si="20"/>
        <v>0.22</v>
      </c>
      <c r="P41">
        <f t="shared" si="21"/>
        <v>0.49218619999999996</v>
      </c>
      <c r="Q41">
        <f t="shared" si="22"/>
        <v>44.59295199999999</v>
      </c>
      <c r="R41">
        <f t="shared" si="23"/>
        <v>15.073684999999999</v>
      </c>
      <c r="S41" s="1">
        <f t="shared" si="24"/>
        <v>0.41499999999999998</v>
      </c>
      <c r="T41">
        <f t="shared" si="25"/>
        <v>82.284558591999982</v>
      </c>
      <c r="U41">
        <f t="shared" si="26"/>
        <v>0.2195298</v>
      </c>
      <c r="W41">
        <f t="shared" si="27"/>
        <v>142.66291159199997</v>
      </c>
      <c r="X41">
        <f t="shared" si="28"/>
        <v>0.14266291159199998</v>
      </c>
    </row>
    <row r="42" spans="2:24" x14ac:dyDescent="0.3">
      <c r="B42" s="2">
        <f t="shared" si="9"/>
        <v>14</v>
      </c>
      <c r="C42">
        <f t="shared" si="10"/>
        <v>15121.29679875</v>
      </c>
      <c r="D42">
        <f t="shared" si="11"/>
        <v>15141.48</v>
      </c>
      <c r="E42">
        <f t="shared" si="12"/>
        <v>13446.900000000001</v>
      </c>
      <c r="F42">
        <f t="shared" si="13"/>
        <v>20149.655040000001</v>
      </c>
      <c r="G42">
        <f t="shared" si="14"/>
        <v>529.89499999999998</v>
      </c>
      <c r="H42">
        <v>20600</v>
      </c>
      <c r="I42">
        <f t="shared" si="15"/>
        <v>27812.466838749999</v>
      </c>
      <c r="J42">
        <f t="shared" si="16"/>
        <v>27.812466838749998</v>
      </c>
      <c r="L42">
        <f t="shared" si="17"/>
        <v>0.20493210000000001</v>
      </c>
      <c r="M42">
        <f t="shared" si="18"/>
        <v>6.5124000000000007E-3</v>
      </c>
      <c r="N42">
        <f t="shared" si="19"/>
        <v>1.6988999999999999E-3</v>
      </c>
      <c r="O42">
        <f t="shared" si="20"/>
        <v>0.216</v>
      </c>
      <c r="P42">
        <f t="shared" si="21"/>
        <v>0.50045202</v>
      </c>
      <c r="Q42">
        <f t="shared" si="22"/>
        <v>47.544247200000001</v>
      </c>
      <c r="R42">
        <f t="shared" si="23"/>
        <v>14.522652000000001</v>
      </c>
      <c r="S42" s="1">
        <f t="shared" si="24"/>
        <v>0.42199999999999999</v>
      </c>
      <c r="T42">
        <f t="shared" si="25"/>
        <v>85.031544268800005</v>
      </c>
      <c r="U42">
        <f t="shared" si="26"/>
        <v>0.2225559</v>
      </c>
      <c r="W42">
        <f t="shared" si="27"/>
        <v>147.8214513888</v>
      </c>
      <c r="X42">
        <f t="shared" si="28"/>
        <v>0.14782145138880001</v>
      </c>
    </row>
    <row r="43" spans="2:24" x14ac:dyDescent="0.3">
      <c r="B43" s="2">
        <f t="shared" si="9"/>
        <v>15</v>
      </c>
      <c r="C43">
        <f t="shared" si="10"/>
        <v>18413.425420000007</v>
      </c>
      <c r="D43">
        <f t="shared" si="11"/>
        <v>16708.640000000003</v>
      </c>
      <c r="E43">
        <f t="shared" si="12"/>
        <v>13848.300000000001</v>
      </c>
      <c r="F43">
        <f t="shared" si="13"/>
        <v>22898.903040000008</v>
      </c>
      <c r="G43">
        <f t="shared" si="14"/>
        <v>601.29</v>
      </c>
      <c r="H43">
        <v>20600</v>
      </c>
      <c r="I43">
        <f t="shared" si="15"/>
        <v>31956.67846000001</v>
      </c>
      <c r="J43">
        <f t="shared" si="16"/>
        <v>31.95667846000001</v>
      </c>
      <c r="L43">
        <f t="shared" si="17"/>
        <v>0.2491892</v>
      </c>
      <c r="M43">
        <f t="shared" si="18"/>
        <v>6.8931000000000018E-3</v>
      </c>
      <c r="N43">
        <f t="shared" si="19"/>
        <v>2.2031999999999998E-3</v>
      </c>
      <c r="O43">
        <f t="shared" si="20"/>
        <v>0.222</v>
      </c>
      <c r="P43">
        <f t="shared" si="21"/>
        <v>0.56758962000000013</v>
      </c>
      <c r="Q43">
        <f t="shared" si="22"/>
        <v>57.8118944</v>
      </c>
      <c r="R43">
        <f t="shared" si="23"/>
        <v>15.371613000000004</v>
      </c>
      <c r="S43" s="1">
        <f t="shared" si="24"/>
        <v>0.45699999999999996</v>
      </c>
      <c r="T43">
        <f t="shared" si="25"/>
        <v>104.64798689280002</v>
      </c>
      <c r="U43">
        <f t="shared" si="26"/>
        <v>0.28861919999999996</v>
      </c>
      <c r="W43">
        <f t="shared" si="27"/>
        <v>178.68770311280002</v>
      </c>
      <c r="X43">
        <f t="shared" si="28"/>
        <v>0.17868770311280002</v>
      </c>
    </row>
    <row r="44" spans="2:24" x14ac:dyDescent="0.3">
      <c r="B44" s="2">
        <f t="shared" si="9"/>
        <v>16</v>
      </c>
      <c r="C44">
        <f t="shared" si="10"/>
        <v>14136.955638749998</v>
      </c>
      <c r="D44">
        <f t="shared" si="11"/>
        <v>14640.359999999999</v>
      </c>
      <c r="E44">
        <f t="shared" si="12"/>
        <v>13669.900000000001</v>
      </c>
      <c r="F44">
        <f t="shared" si="13"/>
        <v>19805.882880000005</v>
      </c>
      <c r="G44">
        <f t="shared" si="14"/>
        <v>478.15</v>
      </c>
      <c r="H44">
        <v>20600</v>
      </c>
      <c r="I44">
        <f t="shared" si="15"/>
        <v>26710.728518750002</v>
      </c>
      <c r="J44">
        <f t="shared" si="16"/>
        <v>26.710728518750003</v>
      </c>
      <c r="L44">
        <f t="shared" si="17"/>
        <v>0.19183919999999999</v>
      </c>
      <c r="M44">
        <f t="shared" si="18"/>
        <v>6.6817000000000014E-3</v>
      </c>
      <c r="N44">
        <f t="shared" si="19"/>
        <v>1.3869999999999998E-3</v>
      </c>
      <c r="O44">
        <f t="shared" si="20"/>
        <v>0.218</v>
      </c>
      <c r="P44">
        <f t="shared" si="21"/>
        <v>0.48836959499999993</v>
      </c>
      <c r="Q44">
        <f t="shared" si="22"/>
        <v>44.506694400000001</v>
      </c>
      <c r="R44">
        <f t="shared" si="23"/>
        <v>14.900191000000003</v>
      </c>
      <c r="S44" s="1">
        <f t="shared" si="24"/>
        <v>0.41299999999999998</v>
      </c>
      <c r="T44">
        <f t="shared" si="25"/>
        <v>81.798296294400018</v>
      </c>
      <c r="U44">
        <f t="shared" si="26"/>
        <v>0.18169699999999997</v>
      </c>
      <c r="W44">
        <f t="shared" si="27"/>
        <v>141.87524828940005</v>
      </c>
      <c r="X44">
        <f t="shared" si="28"/>
        <v>0.14187524828940004</v>
      </c>
    </row>
    <row r="45" spans="2:24" x14ac:dyDescent="0.3">
      <c r="B45" s="2">
        <f t="shared" si="9"/>
        <v>17</v>
      </c>
      <c r="C45">
        <f t="shared" si="10"/>
        <v>17774.770480000003</v>
      </c>
      <c r="D45">
        <f t="shared" si="11"/>
        <v>16416.32</v>
      </c>
      <c r="E45">
        <f t="shared" si="12"/>
        <v>13112.400000000001</v>
      </c>
      <c r="F45">
        <f t="shared" si="13"/>
        <v>21302.722560000006</v>
      </c>
      <c r="G45">
        <f t="shared" si="14"/>
        <v>609.15000000000009</v>
      </c>
      <c r="H45">
        <v>20600</v>
      </c>
      <c r="I45">
        <f t="shared" si="15"/>
        <v>30757.923040000009</v>
      </c>
      <c r="J45">
        <f t="shared" si="16"/>
        <v>30.757923040000009</v>
      </c>
      <c r="L45">
        <f>(H20/100)*G20</f>
        <v>0.24129160000000002</v>
      </c>
      <c r="M45">
        <f t="shared" si="18"/>
        <v>6.1740000000000007E-3</v>
      </c>
      <c r="N45">
        <f t="shared" si="19"/>
        <v>2.2785000000000001E-3</v>
      </c>
      <c r="O45">
        <f t="shared" si="20"/>
        <v>0.21</v>
      </c>
      <c r="P45">
        <f t="shared" si="21"/>
        <v>0.52751579999999998</v>
      </c>
      <c r="Q45">
        <f t="shared" si="22"/>
        <v>55.979651200000006</v>
      </c>
      <c r="R45">
        <f t="shared" si="23"/>
        <v>13.768020000000002</v>
      </c>
      <c r="S45" s="1">
        <f t="shared" si="24"/>
        <v>0.44600000000000001</v>
      </c>
      <c r="T45">
        <f t="shared" si="25"/>
        <v>95.010142617600025</v>
      </c>
      <c r="U45">
        <f t="shared" si="26"/>
        <v>0.29848350000000001</v>
      </c>
      <c r="W45">
        <f t="shared" si="27"/>
        <v>165.58381311760004</v>
      </c>
      <c r="X45">
        <f t="shared" si="28"/>
        <v>0.16558381311760004</v>
      </c>
    </row>
    <row r="46" spans="2:24" x14ac:dyDescent="0.3">
      <c r="B46" s="2">
        <f t="shared" si="9"/>
        <v>18</v>
      </c>
      <c r="C46">
        <f t="shared" si="10"/>
        <v>16935.860394999996</v>
      </c>
      <c r="D46">
        <f t="shared" si="11"/>
        <v>16024.239999999998</v>
      </c>
      <c r="E46">
        <f t="shared" si="12"/>
        <v>13491.5</v>
      </c>
      <c r="F46">
        <f t="shared" si="13"/>
        <v>21395.123199999998</v>
      </c>
      <c r="G46">
        <f t="shared" si="14"/>
        <v>568.54</v>
      </c>
      <c r="H46">
        <v>20600</v>
      </c>
      <c r="I46">
        <f t="shared" si="15"/>
        <v>29983.783594999997</v>
      </c>
      <c r="J46">
        <f t="shared" si="16"/>
        <v>29.983783594999998</v>
      </c>
      <c r="L46">
        <f t="shared" si="17"/>
        <v>0.22931239999999997</v>
      </c>
      <c r="M46">
        <f t="shared" si="18"/>
        <v>6.5339999999999999E-3</v>
      </c>
      <c r="N46">
        <f t="shared" si="19"/>
        <v>1.9529999999999999E-3</v>
      </c>
      <c r="O46">
        <f t="shared" si="20"/>
        <v>0.216</v>
      </c>
      <c r="P46">
        <f t="shared" si="21"/>
        <v>0.52962875999999992</v>
      </c>
      <c r="Q46">
        <f t="shared" si="22"/>
        <v>53.20047679999999</v>
      </c>
      <c r="R46">
        <f t="shared" si="23"/>
        <v>14.570819999999999</v>
      </c>
      <c r="S46" s="1">
        <f t="shared" si="24"/>
        <v>0.44</v>
      </c>
      <c r="T46">
        <f t="shared" si="25"/>
        <v>94.138542080000008</v>
      </c>
      <c r="U46">
        <f t="shared" si="26"/>
        <v>0.25584299999999999</v>
      </c>
      <c r="W46">
        <f t="shared" si="27"/>
        <v>162.69531064</v>
      </c>
      <c r="X46">
        <f t="shared" si="28"/>
        <v>0.16269531064000001</v>
      </c>
    </row>
    <row r="47" spans="2:24" x14ac:dyDescent="0.3">
      <c r="B47" s="2">
        <f t="shared" si="9"/>
        <v>19</v>
      </c>
      <c r="C47">
        <f t="shared" si="10"/>
        <v>17100.541788750001</v>
      </c>
      <c r="D47">
        <f t="shared" si="11"/>
        <v>16101.960000000001</v>
      </c>
      <c r="E47">
        <f t="shared" si="12"/>
        <v>13703.349999999999</v>
      </c>
      <c r="F47">
        <f t="shared" si="13"/>
        <v>21836.478719999999</v>
      </c>
      <c r="G47">
        <f t="shared" si="14"/>
        <v>568.54</v>
      </c>
      <c r="H47">
        <v>20600</v>
      </c>
      <c r="I47">
        <f t="shared" si="15"/>
        <v>30300.250508749999</v>
      </c>
      <c r="J47">
        <f t="shared" si="16"/>
        <v>30.30025050875</v>
      </c>
      <c r="L47">
        <f t="shared" si="17"/>
        <v>0.23181270000000001</v>
      </c>
      <c r="M47">
        <f t="shared" si="18"/>
        <v>6.7594999999999999E-3</v>
      </c>
      <c r="N47">
        <f t="shared" si="19"/>
        <v>1.9529999999999999E-3</v>
      </c>
      <c r="O47">
        <f t="shared" si="20"/>
        <v>0.22</v>
      </c>
      <c r="P47">
        <f t="shared" si="21"/>
        <v>0.54205305000000004</v>
      </c>
      <c r="Q47">
        <f t="shared" si="22"/>
        <v>53.780546400000006</v>
      </c>
      <c r="R47">
        <f t="shared" si="23"/>
        <v>15.073684999999999</v>
      </c>
      <c r="S47" s="1">
        <f t="shared" si="24"/>
        <v>0.44400000000000001</v>
      </c>
      <c r="T47">
        <f t="shared" si="25"/>
        <v>96.953965516800011</v>
      </c>
      <c r="U47">
        <f t="shared" si="26"/>
        <v>0.25584299999999999</v>
      </c>
      <c r="W47">
        <f t="shared" si="27"/>
        <v>166.60609296680002</v>
      </c>
      <c r="X47">
        <f t="shared" si="28"/>
        <v>0.16660609296680001</v>
      </c>
    </row>
    <row r="48" spans="2:24" x14ac:dyDescent="0.3">
      <c r="B48" s="2">
        <f t="shared" si="9"/>
        <v>20</v>
      </c>
      <c r="C48">
        <f t="shared" si="10"/>
        <v>17654.399920000003</v>
      </c>
      <c r="D48">
        <f t="shared" si="11"/>
        <v>16360.640000000003</v>
      </c>
      <c r="E48">
        <f t="shared" si="12"/>
        <v>13235.050000000001</v>
      </c>
      <c r="F48">
        <f t="shared" si="13"/>
        <v>21429.053440000007</v>
      </c>
      <c r="G48">
        <f t="shared" si="14"/>
        <v>609.15000000000009</v>
      </c>
      <c r="H48">
        <v>20600</v>
      </c>
      <c r="I48">
        <f t="shared" si="15"/>
        <v>30696.913360000006</v>
      </c>
      <c r="J48">
        <f t="shared" si="16"/>
        <v>30.696913360000007</v>
      </c>
      <c r="L48">
        <f t="shared" si="17"/>
        <v>0.23906280000000005</v>
      </c>
      <c r="M48">
        <f t="shared" si="18"/>
        <v>6.2911E-3</v>
      </c>
      <c r="N48">
        <f t="shared" si="19"/>
        <v>2.2785000000000001E-3</v>
      </c>
      <c r="O48">
        <f t="shared" si="20"/>
        <v>0.21199999999999999</v>
      </c>
      <c r="P48">
        <f t="shared" si="21"/>
        <v>0.53073351999999996</v>
      </c>
      <c r="Q48">
        <f t="shared" si="22"/>
        <v>55.462569600000009</v>
      </c>
      <c r="R48">
        <f t="shared" si="23"/>
        <v>14.029152999999999</v>
      </c>
      <c r="S48" s="1">
        <f t="shared" si="24"/>
        <v>0.44500000000000001</v>
      </c>
      <c r="T48">
        <f t="shared" si="25"/>
        <v>95.359287808000019</v>
      </c>
      <c r="U48">
        <f t="shared" si="26"/>
        <v>0.29848350000000001</v>
      </c>
      <c r="W48">
        <f t="shared" si="27"/>
        <v>165.68022742800002</v>
      </c>
      <c r="X48">
        <f t="shared" si="28"/>
        <v>0.16568022742800001</v>
      </c>
    </row>
    <row r="49" spans="2:24" x14ac:dyDescent="0.3">
      <c r="B49" s="2" t="e">
        <f>#REF!</f>
        <v>#REF!</v>
      </c>
      <c r="C49" t="e">
        <f>3.55*(#REF!^2)</f>
        <v>#REF!</v>
      </c>
      <c r="D49" t="e">
        <f>232*#REF!</f>
        <v>#REF!</v>
      </c>
      <c r="E49" t="e">
        <f>2230*#REF!</f>
        <v>#REF!</v>
      </c>
      <c r="F49" t="e">
        <f>(51.2*#REF!)*#REF!</f>
        <v>#REF!</v>
      </c>
      <c r="G49" t="e">
        <f>131*#REF!</f>
        <v>#REF!</v>
      </c>
      <c r="H49">
        <v>20600</v>
      </c>
      <c r="I49" t="e">
        <f t="shared" si="15"/>
        <v>#REF!</v>
      </c>
      <c r="J49" t="e">
        <f t="shared" si="16"/>
        <v>#REF!</v>
      </c>
      <c r="L49">
        <f t="shared" si="17"/>
        <v>0.11372399999999999</v>
      </c>
      <c r="M49">
        <f>(L24/100)*K24</f>
        <v>7.7706999999999984E-3</v>
      </c>
      <c r="N49">
        <f t="shared" si="19"/>
        <v>8.61E-4</v>
      </c>
      <c r="O49">
        <f t="shared" si="20"/>
        <v>0.23799999999999999</v>
      </c>
      <c r="P49">
        <f t="shared" si="21"/>
        <v>0.41062139999999991</v>
      </c>
      <c r="Q49">
        <f t="shared" si="22"/>
        <v>26.383967999999999</v>
      </c>
      <c r="R49">
        <f t="shared" si="23"/>
        <v>17.328660999999997</v>
      </c>
      <c r="S49" s="1">
        <f t="shared" si="24"/>
        <v>0.35299999999999998</v>
      </c>
      <c r="T49">
        <f t="shared" si="25"/>
        <v>57.358015487999992</v>
      </c>
      <c r="U49">
        <f t="shared" si="26"/>
        <v>0.112791</v>
      </c>
      <c r="W49">
        <f>SUM(P49:R49,T49:U49)</f>
        <v>101.594056888</v>
      </c>
      <c r="X49">
        <f>W49/10^3</f>
        <v>0.101594056888</v>
      </c>
    </row>
    <row r="50" spans="2:24" x14ac:dyDescent="0.3">
      <c r="B50" t="s">
        <v>21</v>
      </c>
      <c r="C50">
        <f>3.55*(G24^2)</f>
        <v>8384.9579999999987</v>
      </c>
      <c r="D50">
        <f>232*G24</f>
        <v>11275.199999999999</v>
      </c>
      <c r="E50">
        <f>2230*K24</f>
        <v>14561.899999999998</v>
      </c>
      <c r="F50">
        <f>(51.2*G24)*K24</f>
        <v>16248.729599999997</v>
      </c>
      <c r="G50">
        <f>131*O24</f>
        <v>375.97</v>
      </c>
      <c r="H50">
        <v>20600</v>
      </c>
      <c r="I50">
        <f t="shared" si="15"/>
        <v>19772.557599999996</v>
      </c>
      <c r="J50">
        <f t="shared" si="16"/>
        <v>19.772557599999995</v>
      </c>
      <c r="L50">
        <f t="shared" si="17"/>
        <v>0</v>
      </c>
    </row>
    <row r="53" spans="2:24" x14ac:dyDescent="0.3">
      <c r="B53">
        <v>1</v>
      </c>
      <c r="C53">
        <f t="shared" ref="C53:C72" si="29">C29*(SQRT(T4+T4))</f>
        <v>111.15881729786948</v>
      </c>
      <c r="D53">
        <f t="shared" ref="D53:D72" si="30">232*H4</f>
        <v>75.864000000000004</v>
      </c>
      <c r="E53">
        <f t="shared" ref="E53:E72" si="31">2230*L4</f>
        <v>234.14999999999998</v>
      </c>
      <c r="F53">
        <f t="shared" ref="F53:F72" si="32">F29*SQRT(51.2*T4+U4)</f>
        <v>786.53120110005102</v>
      </c>
      <c r="G53">
        <f t="shared" ref="G53:G72" si="33">131*P4</f>
        <v>6.2880000000000003</v>
      </c>
      <c r="H53">
        <f>SQRT(C53^2+D53^2+E53^2+F53^2+G53^2)</f>
        <v>831.63015872859614</v>
      </c>
      <c r="I53">
        <f>H53/1000</f>
        <v>0.83163015872859614</v>
      </c>
      <c r="J53" s="41" t="s">
        <v>30</v>
      </c>
      <c r="K53" s="41"/>
    </row>
    <row r="54" spans="2:24" x14ac:dyDescent="0.3">
      <c r="B54">
        <v>2</v>
      </c>
      <c r="C54">
        <f t="shared" si="29"/>
        <v>111.67165709752673</v>
      </c>
      <c r="D54">
        <f t="shared" si="30"/>
        <v>76.096000000000004</v>
      </c>
      <c r="E54">
        <f t="shared" si="31"/>
        <v>238.60999999999999</v>
      </c>
      <c r="F54">
        <f t="shared" si="32"/>
        <v>806.27891782941845</v>
      </c>
      <c r="G54">
        <f t="shared" si="33"/>
        <v>6.0259999999999998</v>
      </c>
      <c r="H54">
        <f t="shared" ref="H54:H73" si="34">SQRT(C54^2+D54^2+E54^2+F54^2+G54^2)</f>
        <v>851.65597416273999</v>
      </c>
      <c r="I54">
        <f t="shared" ref="I54:I73" si="35">H54/1000</f>
        <v>0.85165597416273997</v>
      </c>
      <c r="J54" s="41"/>
      <c r="K54" s="41"/>
    </row>
    <row r="55" spans="2:24" x14ac:dyDescent="0.3">
      <c r="B55">
        <v>3</v>
      </c>
      <c r="C55">
        <f t="shared" si="29"/>
        <v>126.92501385631944</v>
      </c>
      <c r="D55">
        <f t="shared" si="30"/>
        <v>80.967999999999989</v>
      </c>
      <c r="E55">
        <f t="shared" si="31"/>
        <v>227.45999999999998</v>
      </c>
      <c r="F55">
        <f t="shared" si="32"/>
        <v>820.56644662083477</v>
      </c>
      <c r="G55">
        <f t="shared" si="33"/>
        <v>6.2880000000000003</v>
      </c>
      <c r="H55">
        <f t="shared" si="34"/>
        <v>864.73849227981646</v>
      </c>
      <c r="I55">
        <f t="shared" si="35"/>
        <v>0.86473849227981647</v>
      </c>
    </row>
    <row r="56" spans="2:24" x14ac:dyDescent="0.3">
      <c r="B56">
        <v>4</v>
      </c>
      <c r="C56">
        <f t="shared" si="29"/>
        <v>114.38360817906234</v>
      </c>
      <c r="D56">
        <f t="shared" si="30"/>
        <v>77.024000000000001</v>
      </c>
      <c r="E56">
        <f t="shared" si="31"/>
        <v>231.92</v>
      </c>
      <c r="F56">
        <f t="shared" si="32"/>
        <v>794.47992002153353</v>
      </c>
      <c r="G56">
        <f t="shared" si="33"/>
        <v>6.2880000000000003</v>
      </c>
      <c r="H56">
        <f t="shared" si="34"/>
        <v>839.07155538576308</v>
      </c>
      <c r="I56">
        <f t="shared" si="35"/>
        <v>0.83907155538576306</v>
      </c>
    </row>
    <row r="57" spans="2:24" x14ac:dyDescent="0.3">
      <c r="B57">
        <v>5</v>
      </c>
      <c r="C57">
        <f t="shared" si="29"/>
        <v>102.30621834598846</v>
      </c>
      <c r="D57">
        <f t="shared" si="30"/>
        <v>72.616</v>
      </c>
      <c r="E57">
        <f t="shared" si="31"/>
        <v>245.3</v>
      </c>
      <c r="F57">
        <f t="shared" si="32"/>
        <v>796.37403249576175</v>
      </c>
      <c r="G57">
        <f t="shared" si="33"/>
        <v>5.5020000000000007</v>
      </c>
      <c r="H57">
        <f t="shared" si="34"/>
        <v>842.70612161406405</v>
      </c>
      <c r="I57">
        <f t="shared" si="35"/>
        <v>0.842706121614064</v>
      </c>
    </row>
    <row r="58" spans="2:24" x14ac:dyDescent="0.3">
      <c r="B58">
        <v>6</v>
      </c>
      <c r="C58">
        <f t="shared" si="29"/>
        <v>119.77369755651731</v>
      </c>
      <c r="D58">
        <f t="shared" si="30"/>
        <v>78.64800000000001</v>
      </c>
      <c r="E58">
        <f t="shared" si="31"/>
        <v>247.53</v>
      </c>
      <c r="F58">
        <f t="shared" si="32"/>
        <v>873.20168030475077</v>
      </c>
      <c r="G58">
        <f t="shared" si="33"/>
        <v>6.0259999999999998</v>
      </c>
      <c r="H58">
        <f t="shared" si="34"/>
        <v>918.86877985564411</v>
      </c>
      <c r="I58">
        <f t="shared" si="35"/>
        <v>0.91886877985564408</v>
      </c>
    </row>
    <row r="59" spans="2:24" x14ac:dyDescent="0.3">
      <c r="B59">
        <v>7</v>
      </c>
      <c r="C59">
        <f t="shared" si="29"/>
        <v>89.21916417508713</v>
      </c>
      <c r="D59">
        <f t="shared" si="30"/>
        <v>67.744</v>
      </c>
      <c r="E59">
        <f t="shared" si="31"/>
        <v>240.84</v>
      </c>
      <c r="F59">
        <f t="shared" si="32"/>
        <v>726.62672474041449</v>
      </c>
      <c r="G59">
        <f t="shared" si="33"/>
        <v>5.24</v>
      </c>
      <c r="H59">
        <f t="shared" si="34"/>
        <v>773.67116341445944</v>
      </c>
      <c r="I59">
        <f t="shared" si="35"/>
        <v>0.77367116341445941</v>
      </c>
    </row>
    <row r="60" spans="2:24" x14ac:dyDescent="0.3">
      <c r="B60">
        <v>8</v>
      </c>
      <c r="C60">
        <f t="shared" si="29"/>
        <v>111.98453204921189</v>
      </c>
      <c r="D60">
        <f t="shared" si="30"/>
        <v>76.096000000000004</v>
      </c>
      <c r="E60">
        <f t="shared" si="31"/>
        <v>236.38</v>
      </c>
      <c r="F60">
        <f t="shared" si="32"/>
        <v>803.55555628635477</v>
      </c>
      <c r="G60">
        <f t="shared" si="33"/>
        <v>6.4190000000000005</v>
      </c>
      <c r="H60">
        <f t="shared" si="34"/>
        <v>848.49830679498359</v>
      </c>
      <c r="I60">
        <f t="shared" si="35"/>
        <v>0.84849830679498361</v>
      </c>
    </row>
    <row r="61" spans="2:24" x14ac:dyDescent="0.3">
      <c r="B61">
        <v>9</v>
      </c>
      <c r="C61">
        <f t="shared" si="29"/>
        <v>120.79272504878783</v>
      </c>
      <c r="D61">
        <f t="shared" si="30"/>
        <v>78.88000000000001</v>
      </c>
      <c r="E61">
        <f t="shared" si="31"/>
        <v>247.53</v>
      </c>
      <c r="F61">
        <f t="shared" si="32"/>
        <v>867.4114898605618</v>
      </c>
      <c r="G61">
        <f t="shared" si="33"/>
        <v>6.157</v>
      </c>
      <c r="H61">
        <f t="shared" si="34"/>
        <v>913.52320119186436</v>
      </c>
      <c r="I61">
        <f t="shared" si="35"/>
        <v>0.91352320119186436</v>
      </c>
    </row>
    <row r="62" spans="2:24" x14ac:dyDescent="0.3">
      <c r="B62">
        <v>10</v>
      </c>
      <c r="C62">
        <f t="shared" si="29"/>
        <v>114.06400581346092</v>
      </c>
      <c r="D62">
        <f t="shared" si="30"/>
        <v>76.792000000000002</v>
      </c>
      <c r="E62">
        <f t="shared" si="31"/>
        <v>243.07</v>
      </c>
      <c r="F62">
        <f t="shared" si="32"/>
        <v>826.56071391872752</v>
      </c>
      <c r="G62">
        <f t="shared" si="33"/>
        <v>6.0259999999999998</v>
      </c>
      <c r="H62">
        <f t="shared" si="34"/>
        <v>872.48470476911496</v>
      </c>
      <c r="I62">
        <f t="shared" si="35"/>
        <v>0.87248470476911499</v>
      </c>
    </row>
    <row r="63" spans="2:24" x14ac:dyDescent="0.3">
      <c r="B63">
        <v>11</v>
      </c>
      <c r="C63">
        <f t="shared" si="29"/>
        <v>93.054241948559323</v>
      </c>
      <c r="D63">
        <f t="shared" si="30"/>
        <v>69.367999999999995</v>
      </c>
      <c r="E63">
        <f t="shared" si="31"/>
        <v>245.3</v>
      </c>
      <c r="F63">
        <f t="shared" si="32"/>
        <v>759.74136806307695</v>
      </c>
      <c r="G63">
        <f t="shared" si="33"/>
        <v>5.24</v>
      </c>
      <c r="H63">
        <f t="shared" si="34"/>
        <v>806.76979697741331</v>
      </c>
      <c r="I63">
        <f t="shared" si="35"/>
        <v>0.80676979697741336</v>
      </c>
    </row>
    <row r="64" spans="2:24" x14ac:dyDescent="0.3">
      <c r="B64">
        <v>12</v>
      </c>
      <c r="C64">
        <f t="shared" si="29"/>
        <v>113.92649546483035</v>
      </c>
      <c r="D64">
        <f t="shared" si="30"/>
        <v>76.56</v>
      </c>
      <c r="E64">
        <f t="shared" si="31"/>
        <v>238.60999999999999</v>
      </c>
      <c r="F64">
        <f t="shared" si="32"/>
        <v>820.06146544588182</v>
      </c>
      <c r="G64">
        <f t="shared" si="33"/>
        <v>6.0259999999999998</v>
      </c>
      <c r="H64">
        <f t="shared" si="34"/>
        <v>865.05059496780018</v>
      </c>
      <c r="I64">
        <f t="shared" si="35"/>
        <v>0.86505059496780023</v>
      </c>
    </row>
    <row r="65" spans="2:9" x14ac:dyDescent="0.3">
      <c r="B65">
        <v>13</v>
      </c>
      <c r="C65">
        <f t="shared" si="29"/>
        <v>96.498728078239694</v>
      </c>
      <c r="D65">
        <f t="shared" si="30"/>
        <v>70.760000000000005</v>
      </c>
      <c r="E65">
        <f t="shared" si="31"/>
        <v>245.3</v>
      </c>
      <c r="F65">
        <f t="shared" si="32"/>
        <v>772.94472624811431</v>
      </c>
      <c r="G65">
        <f t="shared" si="33"/>
        <v>5.5020000000000007</v>
      </c>
      <c r="H65">
        <f t="shared" si="34"/>
        <v>819.73464850492348</v>
      </c>
      <c r="I65">
        <f t="shared" si="35"/>
        <v>0.8197346485049235</v>
      </c>
    </row>
    <row r="66" spans="2:9" x14ac:dyDescent="0.3">
      <c r="B66">
        <v>14</v>
      </c>
      <c r="C66">
        <f t="shared" si="29"/>
        <v>102.88530309088777</v>
      </c>
      <c r="D66">
        <f t="shared" si="30"/>
        <v>72.847999999999999</v>
      </c>
      <c r="E66">
        <f t="shared" si="31"/>
        <v>240.84</v>
      </c>
      <c r="F66">
        <f t="shared" si="32"/>
        <v>781.931549284384</v>
      </c>
      <c r="G66">
        <f t="shared" si="33"/>
        <v>5.5020000000000007</v>
      </c>
      <c r="H66">
        <f t="shared" si="34"/>
        <v>827.85466240541336</v>
      </c>
      <c r="I66">
        <f t="shared" si="35"/>
        <v>0.82785466240541339</v>
      </c>
    </row>
    <row r="67" spans="2:9" x14ac:dyDescent="0.3">
      <c r="B67">
        <v>15</v>
      </c>
      <c r="C67">
        <f t="shared" si="29"/>
        <v>125.10439491410011</v>
      </c>
      <c r="D67">
        <f t="shared" si="30"/>
        <v>80.271999999999991</v>
      </c>
      <c r="E67">
        <f t="shared" si="31"/>
        <v>247.53</v>
      </c>
      <c r="F67">
        <f t="shared" si="32"/>
        <v>887.23060302242334</v>
      </c>
      <c r="G67">
        <f t="shared" si="33"/>
        <v>6.2880000000000003</v>
      </c>
      <c r="H67">
        <f t="shared" si="34"/>
        <v>933.05063442149594</v>
      </c>
      <c r="I67">
        <f t="shared" si="35"/>
        <v>0.93305063442149594</v>
      </c>
    </row>
    <row r="68" spans="2:9" x14ac:dyDescent="0.3">
      <c r="B68">
        <v>16</v>
      </c>
      <c r="C68">
        <f t="shared" si="29"/>
        <v>96.312067444355634</v>
      </c>
      <c r="D68">
        <f t="shared" si="30"/>
        <v>70.527999999999992</v>
      </c>
      <c r="E68">
        <f t="shared" si="31"/>
        <v>243.07</v>
      </c>
      <c r="F68">
        <f t="shared" si="32"/>
        <v>768.19725387752851</v>
      </c>
      <c r="G68">
        <f t="shared" si="33"/>
        <v>4.9779999999999998</v>
      </c>
      <c r="H68">
        <f t="shared" si="34"/>
        <v>814.54590992060241</v>
      </c>
      <c r="I68">
        <f t="shared" si="35"/>
        <v>0.81454590992060238</v>
      </c>
    </row>
    <row r="69" spans="2:9" x14ac:dyDescent="0.3">
      <c r="B69">
        <v>17</v>
      </c>
      <c r="C69">
        <f t="shared" si="29"/>
        <v>121.1394378883799</v>
      </c>
      <c r="D69">
        <f t="shared" si="30"/>
        <v>79.112000000000009</v>
      </c>
      <c r="E69">
        <f t="shared" si="31"/>
        <v>234.14999999999998</v>
      </c>
      <c r="F69">
        <f t="shared" si="32"/>
        <v>827.230452866983</v>
      </c>
      <c r="G69">
        <f t="shared" si="33"/>
        <v>6.4190000000000005</v>
      </c>
      <c r="H69">
        <f t="shared" si="34"/>
        <v>871.84351816563185</v>
      </c>
      <c r="I69">
        <f t="shared" si="35"/>
        <v>0.87184351816563188</v>
      </c>
    </row>
    <row r="70" spans="2:9" x14ac:dyDescent="0.3">
      <c r="B70">
        <v>18</v>
      </c>
      <c r="C70">
        <f t="shared" si="29"/>
        <v>115.12533066561505</v>
      </c>
      <c r="D70">
        <f t="shared" si="30"/>
        <v>77.024000000000001</v>
      </c>
      <c r="E70">
        <f t="shared" si="31"/>
        <v>240.84</v>
      </c>
      <c r="F70">
        <f t="shared" si="32"/>
        <v>829.07662502844801</v>
      </c>
      <c r="G70">
        <f t="shared" si="33"/>
        <v>5.8949999999999996</v>
      </c>
      <c r="H70">
        <f t="shared" si="34"/>
        <v>874.41022702758278</v>
      </c>
      <c r="I70">
        <f t="shared" si="35"/>
        <v>0.87441022702758275</v>
      </c>
    </row>
    <row r="71" spans="2:9" x14ac:dyDescent="0.3">
      <c r="B71">
        <v>19</v>
      </c>
      <c r="C71">
        <f t="shared" si="29"/>
        <v>116.38059581596559</v>
      </c>
      <c r="D71">
        <f t="shared" si="30"/>
        <v>77.488</v>
      </c>
      <c r="E71">
        <f t="shared" si="31"/>
        <v>245.3</v>
      </c>
      <c r="F71">
        <f t="shared" si="32"/>
        <v>847.4563025526495</v>
      </c>
      <c r="G71">
        <f t="shared" si="33"/>
        <v>5.8949999999999996</v>
      </c>
      <c r="H71">
        <f t="shared" si="34"/>
        <v>893.27367530208062</v>
      </c>
      <c r="I71">
        <f t="shared" si="35"/>
        <v>0.89327367530208057</v>
      </c>
    </row>
    <row r="72" spans="2:9" x14ac:dyDescent="0.3">
      <c r="B72">
        <v>20</v>
      </c>
      <c r="C72">
        <f t="shared" si="29"/>
        <v>120.0204781767048</v>
      </c>
      <c r="D72">
        <f t="shared" si="30"/>
        <v>78.64800000000001</v>
      </c>
      <c r="E72">
        <f t="shared" si="31"/>
        <v>236.38</v>
      </c>
      <c r="F72">
        <f t="shared" si="32"/>
        <v>830.53783088884416</v>
      </c>
      <c r="G72">
        <f t="shared" si="33"/>
        <v>6.4190000000000005</v>
      </c>
      <c r="H72">
        <f t="shared" si="34"/>
        <v>875.38575473005676</v>
      </c>
      <c r="I72">
        <f t="shared" si="35"/>
        <v>0.87538575473005675</v>
      </c>
    </row>
    <row r="73" spans="2:9" x14ac:dyDescent="0.3">
      <c r="B73" t="s">
        <v>75</v>
      </c>
      <c r="C73">
        <f>C50*(SQRT(T24+T24))</f>
        <v>57.094658224397847</v>
      </c>
      <c r="D73">
        <f>232*T24</f>
        <v>5.3783264746227735E-3</v>
      </c>
      <c r="E73">
        <f>2230*U24</f>
        <v>0.7405807569727656</v>
      </c>
      <c r="F73">
        <f>F50*SQRT(51.2*T24+U24)</f>
        <v>633.29202329539953</v>
      </c>
      <c r="G73">
        <f>131*V24</f>
        <v>1.4313637412133203E-2</v>
      </c>
      <c r="H73">
        <f t="shared" si="34"/>
        <v>635.86094034860002</v>
      </c>
      <c r="I73">
        <f t="shared" si="35"/>
        <v>0.63586094034860008</v>
      </c>
    </row>
  </sheetData>
  <mergeCells count="18">
    <mergeCell ref="J53:K54"/>
    <mergeCell ref="P2:P3"/>
    <mergeCell ref="R2:R3"/>
    <mergeCell ref="E27:I27"/>
    <mergeCell ref="G2:G3"/>
    <mergeCell ref="W27:AA27"/>
    <mergeCell ref="AD27:AG27"/>
    <mergeCell ref="H2:H3"/>
    <mergeCell ref="I2:J2"/>
    <mergeCell ref="K2:K3"/>
    <mergeCell ref="L2:L3"/>
    <mergeCell ref="M2:N2"/>
    <mergeCell ref="O2:O3"/>
    <mergeCell ref="A2:A3"/>
    <mergeCell ref="B2:B3"/>
    <mergeCell ref="C2:C3"/>
    <mergeCell ref="D2:D3"/>
    <mergeCell ref="E2:F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workbookViewId="0">
      <selection activeCell="K4" sqref="K4:L4"/>
    </sheetView>
  </sheetViews>
  <sheetFormatPr defaultRowHeight="14.4" x14ac:dyDescent="0.3"/>
  <cols>
    <col min="2" max="2" width="10.109375" bestFit="1" customWidth="1"/>
    <col min="3" max="3" width="12" bestFit="1" customWidth="1"/>
    <col min="5" max="5" width="10.6640625" bestFit="1" customWidth="1"/>
    <col min="6" max="6" width="13.33203125" bestFit="1" customWidth="1"/>
  </cols>
  <sheetData>
    <row r="1" spans="1:12" x14ac:dyDescent="0.3">
      <c r="A1" t="s">
        <v>60</v>
      </c>
      <c r="B1" t="s">
        <v>61</v>
      </c>
      <c r="C1" t="s">
        <v>62</v>
      </c>
      <c r="D1" t="s">
        <v>63</v>
      </c>
      <c r="E1" s="30" t="s">
        <v>17</v>
      </c>
      <c r="F1" t="str">
        <f>CHN!AC3</f>
        <v>Solid yield (g)</v>
      </c>
      <c r="G1" t="str">
        <f>CHN!AD3</f>
        <v>ERE</v>
      </c>
      <c r="I1" t="s">
        <v>74</v>
      </c>
    </row>
    <row r="2" spans="1:12" x14ac:dyDescent="0.3">
      <c r="A2">
        <v>1</v>
      </c>
      <c r="B2" s="33">
        <v>225</v>
      </c>
      <c r="C2" s="32">
        <v>3.5</v>
      </c>
      <c r="D2" s="32">
        <v>3.5</v>
      </c>
      <c r="E2" s="35">
        <v>28.968573195000001</v>
      </c>
      <c r="F2">
        <f>CHN!AC4</f>
        <v>4.4890000000000008</v>
      </c>
      <c r="G2">
        <f>CHN!AD4</f>
        <v>0.65636609572283011</v>
      </c>
      <c r="I2">
        <f>CHN!X29</f>
        <v>0.15295216473480003</v>
      </c>
    </row>
    <row r="3" spans="1:12" x14ac:dyDescent="0.3">
      <c r="A3">
        <v>2</v>
      </c>
      <c r="B3" s="33">
        <v>225</v>
      </c>
      <c r="C3" s="32">
        <v>3.5</v>
      </c>
      <c r="D3" s="32">
        <v>3.5</v>
      </c>
      <c r="E3" s="35">
        <v>29.16947073875</v>
      </c>
      <c r="F3">
        <f>CHN!AC5</f>
        <v>4.8600000000000021</v>
      </c>
      <c r="G3">
        <f>CHN!AD5</f>
        <v>0.71725852973465698</v>
      </c>
      <c r="I3">
        <f>CHN!X30</f>
        <v>0.156538440699</v>
      </c>
    </row>
    <row r="4" spans="1:12" x14ac:dyDescent="0.3">
      <c r="A4">
        <v>3</v>
      </c>
      <c r="B4" s="33">
        <v>260</v>
      </c>
      <c r="C4" s="32">
        <v>3.5</v>
      </c>
      <c r="D4" s="32">
        <v>3.5</v>
      </c>
      <c r="E4" s="35">
        <v>31.446520239999998</v>
      </c>
      <c r="F4">
        <f>CHN!AC6</f>
        <v>3.7790000000000012</v>
      </c>
      <c r="G4">
        <f>CHN!AD6</f>
        <v>0.59975734508556244</v>
      </c>
      <c r="I4">
        <f>CHN!X31</f>
        <v>0.16768207164959997</v>
      </c>
      <c r="K4" s="20">
        <f>AVERAGE(E2:E3,E11,E13,E19,E20)</f>
        <v>29.656182264375001</v>
      </c>
      <c r="L4" s="20">
        <f>AVERAGE(F2:F3,F11,F13,F19,F20)</f>
        <v>4.8388333333333344</v>
      </c>
    </row>
    <row r="5" spans="1:12" x14ac:dyDescent="0.3">
      <c r="A5">
        <v>4</v>
      </c>
      <c r="B5" s="33">
        <v>225</v>
      </c>
      <c r="C5" s="32">
        <v>3.5</v>
      </c>
      <c r="D5" s="32">
        <v>4.9999999999999991</v>
      </c>
      <c r="E5" s="35">
        <v>29.444161718750003</v>
      </c>
      <c r="F5">
        <f>CHN!AC7</f>
        <v>4.4800000000000004</v>
      </c>
      <c r="G5">
        <f>CHN!AD7</f>
        <v>0.66740293401305273</v>
      </c>
      <c r="I5">
        <f>CHN!X32</f>
        <v>0.1559566574</v>
      </c>
    </row>
    <row r="6" spans="1:12" x14ac:dyDescent="0.3">
      <c r="A6">
        <v>5</v>
      </c>
      <c r="B6" s="33">
        <v>225</v>
      </c>
      <c r="C6" s="32">
        <v>1</v>
      </c>
      <c r="D6" s="32">
        <v>3.5</v>
      </c>
      <c r="E6" s="35">
        <v>27.868544678750002</v>
      </c>
      <c r="F6">
        <f>CHN!AC8</f>
        <v>5.4200000000000017</v>
      </c>
      <c r="G6">
        <f>CHN!AD8</f>
        <v>0.76110890470473869</v>
      </c>
      <c r="I6">
        <f>CHN!X33</f>
        <v>0.15005527940920005</v>
      </c>
    </row>
    <row r="7" spans="1:12" x14ac:dyDescent="0.3">
      <c r="A7">
        <v>6</v>
      </c>
      <c r="B7" s="33">
        <v>225</v>
      </c>
      <c r="C7" s="32">
        <v>6</v>
      </c>
      <c r="D7" s="32">
        <v>3.5</v>
      </c>
      <c r="E7" s="35">
        <v>31.009844218749997</v>
      </c>
      <c r="F7">
        <f>CHN!AC9</f>
        <v>4.43</v>
      </c>
      <c r="G7">
        <f>CHN!AD9</f>
        <v>0.69812002252151373</v>
      </c>
      <c r="I7">
        <f>CHN!X34</f>
        <v>0.17297711657500006</v>
      </c>
    </row>
    <row r="8" spans="1:12" x14ac:dyDescent="0.3">
      <c r="A8">
        <v>7</v>
      </c>
      <c r="B8" s="33">
        <v>190</v>
      </c>
      <c r="C8" s="32">
        <v>3.5</v>
      </c>
      <c r="D8" s="32">
        <v>3.5</v>
      </c>
      <c r="E8" s="35">
        <v>25.461178220000001</v>
      </c>
      <c r="F8">
        <f>CHN!AC10</f>
        <v>5.9959999999999996</v>
      </c>
      <c r="G8">
        <f>CHN!AD10</f>
        <v>0.76757790245648538</v>
      </c>
      <c r="I8">
        <f>CHN!X35</f>
        <v>0.13142741143999997</v>
      </c>
    </row>
    <row r="9" spans="1:12" x14ac:dyDescent="0.3">
      <c r="A9">
        <v>8</v>
      </c>
      <c r="B9" s="33">
        <v>225</v>
      </c>
      <c r="C9" s="32">
        <v>3.5</v>
      </c>
      <c r="D9" s="32">
        <v>2.0000000000000009</v>
      </c>
      <c r="E9" s="35">
        <v>29.293488728749995</v>
      </c>
      <c r="F9">
        <f>CHN!AC11</f>
        <v>4.3299999999999983</v>
      </c>
      <c r="G9">
        <f>CHN!AD11</f>
        <v>0.64194860130464959</v>
      </c>
      <c r="I9">
        <f>CHN!X36</f>
        <v>0.1563650522676</v>
      </c>
    </row>
    <row r="10" spans="1:12" x14ac:dyDescent="0.3">
      <c r="A10">
        <v>9</v>
      </c>
      <c r="B10" s="33">
        <v>246.43294549908146</v>
      </c>
      <c r="C10" s="32">
        <v>2</v>
      </c>
      <c r="D10" s="32">
        <v>2.5814451928965099</v>
      </c>
      <c r="E10" s="35">
        <v>31.149079108750005</v>
      </c>
      <c r="F10">
        <f>CHN!AC12</f>
        <v>4.3870000000000005</v>
      </c>
      <c r="G10">
        <f>CHN!AD12</f>
        <v>0.68767610659883871</v>
      </c>
      <c r="I10">
        <f>CHN!X37</f>
        <v>0.17274945305060002</v>
      </c>
    </row>
    <row r="11" spans="1:12" x14ac:dyDescent="0.3">
      <c r="A11">
        <v>10</v>
      </c>
      <c r="B11" s="33">
        <v>225</v>
      </c>
      <c r="C11" s="32">
        <v>3.5</v>
      </c>
      <c r="D11" s="32">
        <v>3.5</v>
      </c>
      <c r="E11" s="35">
        <v>29.7299088</v>
      </c>
      <c r="F11">
        <f>CHN!AC13</f>
        <v>4.9590000000000014</v>
      </c>
      <c r="G11">
        <f>CHN!AD13</f>
        <v>0.74177527963389822</v>
      </c>
      <c r="I11">
        <f>CHN!X38</f>
        <v>0.16158323932799998</v>
      </c>
    </row>
    <row r="12" spans="1:12" x14ac:dyDescent="0.3">
      <c r="A12">
        <v>11</v>
      </c>
      <c r="B12" s="33">
        <v>203.56705450091857</v>
      </c>
      <c r="C12" s="32">
        <v>2</v>
      </c>
      <c r="D12" s="32">
        <v>2.5814451928965099</v>
      </c>
      <c r="E12" s="35">
        <v>26.174233434999998</v>
      </c>
      <c r="F12">
        <f>CHN!AC14</f>
        <v>5.7339999999999991</v>
      </c>
      <c r="G12">
        <f>CHN!AD14</f>
        <v>0.7563998495092672</v>
      </c>
      <c r="I12">
        <f>CHN!X39</f>
        <v>0.1387599549272</v>
      </c>
    </row>
    <row r="13" spans="1:12" x14ac:dyDescent="0.3">
      <c r="A13">
        <v>12</v>
      </c>
      <c r="B13" s="33">
        <v>225</v>
      </c>
      <c r="C13" s="32">
        <v>3.5</v>
      </c>
      <c r="D13" s="32">
        <v>3.5</v>
      </c>
      <c r="E13" s="35">
        <v>29.78510674875</v>
      </c>
      <c r="F13">
        <f>CHN!AC15</f>
        <v>4.7799999999999994</v>
      </c>
      <c r="G13">
        <f>CHN!AD15</f>
        <v>0.72207438386588008</v>
      </c>
      <c r="I13">
        <f>CHN!X40</f>
        <v>0.16050886646900003</v>
      </c>
    </row>
    <row r="14" spans="1:12" x14ac:dyDescent="0.3">
      <c r="A14">
        <v>13</v>
      </c>
      <c r="B14" s="33">
        <v>203.56705450091857</v>
      </c>
      <c r="C14" s="32">
        <v>5.0309246785058175</v>
      </c>
      <c r="D14" s="32">
        <v>2.5814451928965099</v>
      </c>
      <c r="E14" s="35">
        <v>26.725201899999995</v>
      </c>
      <c r="F14">
        <f>CHN!AC16</f>
        <v>5.2590000000000003</v>
      </c>
      <c r="G14">
        <f>CHN!AD16</f>
        <v>0.70989987568290958</v>
      </c>
      <c r="I14">
        <f>CHN!X41</f>
        <v>0.14266291159199998</v>
      </c>
    </row>
    <row r="15" spans="1:12" x14ac:dyDescent="0.3">
      <c r="A15">
        <v>14</v>
      </c>
      <c r="B15" s="33">
        <v>203.56705450091857</v>
      </c>
      <c r="C15" s="32">
        <v>5.0309246785058175</v>
      </c>
      <c r="D15" s="32">
        <v>4.4185548071034901</v>
      </c>
      <c r="E15" s="35">
        <v>27.812466838749998</v>
      </c>
      <c r="F15">
        <f>CHN!AC17</f>
        <v>4.8610000000000007</v>
      </c>
      <c r="G15">
        <f>CHN!AD17</f>
        <v>0.68512803814066914</v>
      </c>
      <c r="I15">
        <f>CHN!X42</f>
        <v>0.14782145138880001</v>
      </c>
    </row>
    <row r="16" spans="1:12" x14ac:dyDescent="0.3">
      <c r="A16">
        <v>15</v>
      </c>
      <c r="B16" s="33">
        <v>246.43294549908146</v>
      </c>
      <c r="C16" s="32">
        <v>5.0309246785058175</v>
      </c>
      <c r="D16" s="32">
        <v>2.5814451928965099</v>
      </c>
      <c r="E16" s="35">
        <v>31.95667846000001</v>
      </c>
      <c r="F16">
        <f>CHN!AC18</f>
        <v>4.708000000000002</v>
      </c>
      <c r="G16">
        <f>CHN!AD18</f>
        <v>0.76091340955142861</v>
      </c>
      <c r="I16">
        <f>CHN!X43</f>
        <v>0.17868770311280002</v>
      </c>
    </row>
    <row r="17" spans="1:9" x14ac:dyDescent="0.3">
      <c r="A17">
        <v>16</v>
      </c>
      <c r="B17" s="33">
        <v>203.56705450091857</v>
      </c>
      <c r="C17" s="32">
        <v>2</v>
      </c>
      <c r="D17" s="32">
        <v>4.4185548071034901</v>
      </c>
      <c r="E17" s="35">
        <v>26.710728518750003</v>
      </c>
      <c r="F17">
        <f>CHN!AC19</f>
        <v>5.7359999999999989</v>
      </c>
      <c r="G17">
        <f>CHN!AD19</f>
        <v>0.77155797376962332</v>
      </c>
      <c r="I17">
        <f>CHN!X44</f>
        <v>0.14187524828940004</v>
      </c>
    </row>
    <row r="18" spans="1:9" x14ac:dyDescent="0.3">
      <c r="A18">
        <v>17</v>
      </c>
      <c r="B18" s="33">
        <v>246.43294549908146</v>
      </c>
      <c r="C18" s="32">
        <v>2</v>
      </c>
      <c r="D18" s="32">
        <v>4.4185548071034901</v>
      </c>
      <c r="E18" s="35">
        <v>30.757923040000009</v>
      </c>
      <c r="F18">
        <f>CHN!AC20</f>
        <v>4.2950000000000017</v>
      </c>
      <c r="G18">
        <f>CHN!AD20</f>
        <v>0.66912808011943381</v>
      </c>
      <c r="I18">
        <f>CHN!X45</f>
        <v>0.16558381311760004</v>
      </c>
    </row>
    <row r="19" spans="1:9" x14ac:dyDescent="0.3">
      <c r="A19">
        <v>18</v>
      </c>
      <c r="B19" s="33">
        <v>225</v>
      </c>
      <c r="C19" s="32">
        <v>3.5</v>
      </c>
      <c r="D19" s="32">
        <v>3.5</v>
      </c>
      <c r="E19" s="35">
        <v>29.983783594999998</v>
      </c>
      <c r="F19">
        <f>CHN!AC21</f>
        <v>4.950000000000002</v>
      </c>
      <c r="G19">
        <f>CHN!AD21</f>
        <v>0.74645480783408169</v>
      </c>
      <c r="I19">
        <f>CHN!X46</f>
        <v>0.16269531064000001</v>
      </c>
    </row>
    <row r="20" spans="1:9" x14ac:dyDescent="0.3">
      <c r="A20">
        <v>19</v>
      </c>
      <c r="B20" s="33">
        <v>225</v>
      </c>
      <c r="C20" s="32">
        <v>3.5</v>
      </c>
      <c r="D20" s="32">
        <v>3.5</v>
      </c>
      <c r="E20" s="35">
        <v>30.30025050875</v>
      </c>
      <c r="F20">
        <f>CHN!AC22</f>
        <v>4.9950000000000028</v>
      </c>
      <c r="G20">
        <f>CHN!AD22</f>
        <v>0.76232804152583955</v>
      </c>
      <c r="I20">
        <f>CHN!X47</f>
        <v>0.16660609296680001</v>
      </c>
    </row>
    <row r="21" spans="1:9" x14ac:dyDescent="0.3">
      <c r="A21">
        <v>20</v>
      </c>
      <c r="B21" s="33">
        <v>246.43294549908146</v>
      </c>
      <c r="C21" s="32">
        <v>5</v>
      </c>
      <c r="D21" s="32">
        <v>4.4185548071034901</v>
      </c>
      <c r="E21" s="35">
        <v>30.696913360000007</v>
      </c>
      <c r="F21">
        <f>CHN!AC23</f>
        <v>4.4149999999999983</v>
      </c>
      <c r="G21">
        <f>CHN!AD23</f>
        <v>0.68652758905189004</v>
      </c>
      <c r="I21">
        <f>CHN!X48</f>
        <v>0.16568022742800001</v>
      </c>
    </row>
    <row r="22" spans="1:9" x14ac:dyDescent="0.3">
      <c r="E22" s="31"/>
      <c r="I22">
        <f>CHN!X49</f>
        <v>0.101594056888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25"/>
  <sheetViews>
    <sheetView topLeftCell="O1" workbookViewId="0">
      <selection activeCell="V2" sqref="V2:V23"/>
    </sheetView>
  </sheetViews>
  <sheetFormatPr defaultRowHeight="14.4" x14ac:dyDescent="0.3"/>
  <cols>
    <col min="2" max="2" width="12.5546875" bestFit="1" customWidth="1"/>
    <col min="3" max="3" width="8.33203125" customWidth="1"/>
    <col min="4" max="4" width="12" customWidth="1"/>
    <col min="5" max="5" width="21" bestFit="1" customWidth="1"/>
    <col min="6" max="6" width="6.5546875" customWidth="1"/>
    <col min="7" max="7" width="16.109375" customWidth="1"/>
    <col min="8" max="8" width="13.5546875" customWidth="1"/>
    <col min="9" max="9" width="17.44140625" customWidth="1"/>
    <col min="10" max="10" width="14.44140625" customWidth="1"/>
    <col min="11" max="11" width="12.109375" customWidth="1"/>
    <col min="13" max="13" width="17.5546875" customWidth="1"/>
    <col min="14" max="14" width="21.5546875" customWidth="1"/>
    <col min="15" max="15" width="17.44140625" customWidth="1"/>
    <col min="16" max="16" width="20.88671875" customWidth="1"/>
    <col min="17" max="22" width="11" customWidth="1"/>
    <col min="23" max="23" width="12.6640625" customWidth="1"/>
    <col min="24" max="24" width="17.5546875" bestFit="1" customWidth="1"/>
    <col min="25" max="25" width="21.5546875" bestFit="1" customWidth="1"/>
    <col min="26" max="26" width="16" bestFit="1" customWidth="1"/>
    <col min="27" max="27" width="13.109375" bestFit="1" customWidth="1"/>
  </cols>
  <sheetData>
    <row r="2" spans="1:27" ht="15" customHeight="1" x14ac:dyDescent="0.3">
      <c r="B2" s="36" t="s">
        <v>0</v>
      </c>
      <c r="C2" s="36" t="s">
        <v>1</v>
      </c>
      <c r="D2" s="37" t="s">
        <v>2</v>
      </c>
      <c r="E2" s="38" t="s">
        <v>31</v>
      </c>
      <c r="F2" s="38" t="s">
        <v>3</v>
      </c>
      <c r="G2" s="40" t="s">
        <v>32</v>
      </c>
      <c r="H2" s="40"/>
      <c r="I2" s="40"/>
      <c r="J2" s="40"/>
      <c r="K2" s="40"/>
      <c r="M2" s="40" t="s">
        <v>33</v>
      </c>
      <c r="N2" s="40"/>
      <c r="O2" s="40"/>
      <c r="P2" s="40"/>
      <c r="Q2" s="2"/>
      <c r="R2" s="40" t="s">
        <v>34</v>
      </c>
      <c r="S2" s="40"/>
      <c r="T2" s="38" t="s">
        <v>35</v>
      </c>
      <c r="U2" s="38" t="s">
        <v>36</v>
      </c>
      <c r="V2" s="38" t="s">
        <v>37</v>
      </c>
      <c r="X2" s="40" t="s">
        <v>38</v>
      </c>
      <c r="Y2" s="40"/>
      <c r="Z2" s="40"/>
      <c r="AA2" s="40"/>
    </row>
    <row r="3" spans="1:27" x14ac:dyDescent="0.3">
      <c r="B3" s="37"/>
      <c r="C3" s="37"/>
      <c r="D3" s="37"/>
      <c r="E3" s="38"/>
      <c r="F3" s="38"/>
      <c r="G3" s="2" t="s">
        <v>39</v>
      </c>
      <c r="H3" s="2" t="s">
        <v>40</v>
      </c>
      <c r="I3" s="2" t="s">
        <v>41</v>
      </c>
      <c r="J3" s="2" t="s">
        <v>42</v>
      </c>
      <c r="K3" s="2" t="s">
        <v>43</v>
      </c>
      <c r="M3" s="2" t="s">
        <v>44</v>
      </c>
      <c r="N3" s="2" t="s">
        <v>45</v>
      </c>
      <c r="O3" s="2" t="s">
        <v>46</v>
      </c>
      <c r="P3" s="2" t="s">
        <v>47</v>
      </c>
      <c r="Q3" s="2"/>
      <c r="R3" s="2" t="s">
        <v>48</v>
      </c>
      <c r="S3" s="2" t="s">
        <v>49</v>
      </c>
      <c r="T3" s="38"/>
      <c r="U3" s="38"/>
      <c r="V3" s="38"/>
      <c r="X3" s="2" t="s">
        <v>44</v>
      </c>
      <c r="Y3" s="2" t="s">
        <v>50</v>
      </c>
      <c r="Z3" s="2" t="s">
        <v>51</v>
      </c>
      <c r="AA3" s="2" t="s">
        <v>52</v>
      </c>
    </row>
    <row r="4" spans="1:27" s="10" customFormat="1" x14ac:dyDescent="0.3">
      <c r="A4" s="10">
        <v>1</v>
      </c>
      <c r="B4" s="9">
        <v>225</v>
      </c>
      <c r="C4" s="9">
        <v>3.5</v>
      </c>
      <c r="D4" s="9">
        <v>3.5</v>
      </c>
      <c r="E4" s="28"/>
      <c r="F4" s="10">
        <v>1</v>
      </c>
      <c r="G4" s="12"/>
      <c r="H4" s="12"/>
      <c r="I4" s="12"/>
      <c r="J4" s="12"/>
      <c r="K4" s="12">
        <v>10.02</v>
      </c>
      <c r="L4" s="12"/>
      <c r="M4" s="12">
        <v>14.475</v>
      </c>
      <c r="N4" s="12">
        <v>17.974</v>
      </c>
      <c r="O4" s="12">
        <v>3.4990000000000006</v>
      </c>
      <c r="P4" s="12">
        <v>3.8990000000000005</v>
      </c>
      <c r="Q4" s="12"/>
      <c r="R4" s="12">
        <v>6.1050000000000004</v>
      </c>
      <c r="S4" s="12">
        <v>6.6950000000000003</v>
      </c>
      <c r="T4" s="12">
        <v>0.59</v>
      </c>
      <c r="U4" s="12">
        <v>4.4889999999999999</v>
      </c>
      <c r="V4" s="12">
        <v>44.800399201596811</v>
      </c>
      <c r="W4" s="12"/>
      <c r="X4" s="12">
        <v>14.475</v>
      </c>
      <c r="Y4" s="12">
        <v>26.800999999999998</v>
      </c>
      <c r="Z4" s="12">
        <v>12.325999999999999</v>
      </c>
      <c r="AA4" s="12">
        <v>35.217142857142854</v>
      </c>
    </row>
    <row r="5" spans="1:27" s="10" customFormat="1" x14ac:dyDescent="0.3">
      <c r="A5" s="10">
        <v>2</v>
      </c>
      <c r="B5" s="9">
        <v>225</v>
      </c>
      <c r="C5" s="9">
        <v>3.5</v>
      </c>
      <c r="D5" s="9">
        <v>3.5</v>
      </c>
      <c r="E5" s="28"/>
      <c r="F5" s="10">
        <v>2</v>
      </c>
      <c r="G5" s="12"/>
      <c r="H5" s="12"/>
      <c r="I5" s="12"/>
      <c r="J5" s="12"/>
      <c r="K5" s="12">
        <v>9.9960000000000004</v>
      </c>
      <c r="L5" s="12"/>
      <c r="M5" s="12">
        <v>14.516999999999999</v>
      </c>
      <c r="N5" s="12">
        <v>18.469000000000001</v>
      </c>
      <c r="O5" s="12">
        <v>3.9520000000000017</v>
      </c>
      <c r="P5" s="12">
        <v>4.3520000000000021</v>
      </c>
      <c r="Q5" s="12"/>
      <c r="R5" s="12">
        <v>6.157</v>
      </c>
      <c r="S5" s="12">
        <v>6.665</v>
      </c>
      <c r="T5" s="12">
        <v>0.50800000000000001</v>
      </c>
      <c r="U5" s="12">
        <v>4.8600000000000021</v>
      </c>
      <c r="V5" s="12">
        <v>48.61944777911166</v>
      </c>
      <c r="W5" s="12"/>
      <c r="X5" s="12">
        <v>14.443</v>
      </c>
      <c r="Y5" s="12">
        <v>27.925000000000001</v>
      </c>
      <c r="Z5" s="12">
        <v>13.482000000000001</v>
      </c>
      <c r="AA5" s="12">
        <v>38.520000000000003</v>
      </c>
    </row>
    <row r="6" spans="1:27" x14ac:dyDescent="0.3">
      <c r="A6">
        <v>3</v>
      </c>
      <c r="B6" s="19">
        <v>260</v>
      </c>
      <c r="C6" s="19">
        <v>3.5</v>
      </c>
      <c r="D6" s="19">
        <v>3.5</v>
      </c>
      <c r="E6" s="29">
        <v>17</v>
      </c>
      <c r="F6">
        <v>3</v>
      </c>
      <c r="G6" s="1">
        <v>131.785</v>
      </c>
      <c r="H6" s="1">
        <v>10.055</v>
      </c>
      <c r="I6" s="1">
        <v>141.84</v>
      </c>
      <c r="J6" s="1">
        <v>131.81899999999999</v>
      </c>
      <c r="K6" s="1">
        <v>10.021000000000015</v>
      </c>
      <c r="L6" s="1"/>
      <c r="M6" s="1">
        <v>14.366</v>
      </c>
      <c r="N6" s="1">
        <v>17.736000000000001</v>
      </c>
      <c r="O6" s="1">
        <v>3.370000000000001</v>
      </c>
      <c r="P6" s="1">
        <v>3.7700000000000009</v>
      </c>
      <c r="Q6" s="1"/>
      <c r="R6" s="1">
        <v>6.0979999999999999</v>
      </c>
      <c r="S6" s="1">
        <v>6.1070000000000002</v>
      </c>
      <c r="T6" s="1">
        <v>9.0000000000003411E-3</v>
      </c>
      <c r="U6" s="1">
        <v>3.7790000000000012</v>
      </c>
      <c r="V6" s="1">
        <v>37.710807304660172</v>
      </c>
      <c r="W6" s="1"/>
      <c r="X6" s="1">
        <v>0</v>
      </c>
      <c r="Y6" s="1">
        <v>0</v>
      </c>
      <c r="Z6" s="1">
        <v>0</v>
      </c>
      <c r="AA6" s="1">
        <v>0</v>
      </c>
    </row>
    <row r="7" spans="1:27" x14ac:dyDescent="0.3">
      <c r="A7">
        <v>4</v>
      </c>
      <c r="B7" s="19">
        <v>225</v>
      </c>
      <c r="C7" s="19">
        <v>3.5</v>
      </c>
      <c r="D7" s="19">
        <v>4.9999999999999991</v>
      </c>
      <c r="E7" s="29">
        <v>24</v>
      </c>
      <c r="F7">
        <v>4</v>
      </c>
      <c r="G7" s="1">
        <v>100.97499999999999</v>
      </c>
      <c r="H7" s="1">
        <v>10.050000000000001</v>
      </c>
      <c r="I7" s="1">
        <v>111.02499999999999</v>
      </c>
      <c r="J7" s="1">
        <v>101.029</v>
      </c>
      <c r="K7" s="1">
        <v>9.9959999999999951</v>
      </c>
      <c r="L7" s="1"/>
      <c r="M7" s="1">
        <v>14.468</v>
      </c>
      <c r="N7" s="1">
        <v>18.076000000000001</v>
      </c>
      <c r="O7" s="1">
        <v>3.6080000000000005</v>
      </c>
      <c r="P7" s="1">
        <v>4.0080000000000009</v>
      </c>
      <c r="Q7" s="1"/>
      <c r="R7" s="1">
        <v>6.1580000000000004</v>
      </c>
      <c r="S7" s="1">
        <v>6.63</v>
      </c>
      <c r="T7" s="1">
        <v>0.47199999999999953</v>
      </c>
      <c r="U7" s="1">
        <v>4.4800000000000004</v>
      </c>
      <c r="V7" s="1">
        <v>44.817927170868373</v>
      </c>
      <c r="W7" s="1"/>
      <c r="X7" s="1">
        <v>14.461</v>
      </c>
      <c r="Y7" s="1">
        <v>36.363999999999997</v>
      </c>
      <c r="Z7" s="1">
        <v>21.902999999999999</v>
      </c>
      <c r="AA7" s="1">
        <v>43.806000000000004</v>
      </c>
    </row>
    <row r="8" spans="1:27" x14ac:dyDescent="0.3">
      <c r="A8">
        <v>5</v>
      </c>
      <c r="B8" s="19">
        <v>225</v>
      </c>
      <c r="C8" s="19">
        <v>1</v>
      </c>
      <c r="D8" s="19">
        <v>3.5</v>
      </c>
      <c r="E8" s="29">
        <v>24</v>
      </c>
      <c r="F8">
        <v>5</v>
      </c>
      <c r="G8" s="1">
        <v>102.776</v>
      </c>
      <c r="H8" s="1">
        <v>10.081</v>
      </c>
      <c r="I8" s="1">
        <v>112.857</v>
      </c>
      <c r="J8" s="1">
        <v>102.82</v>
      </c>
      <c r="K8" s="1">
        <v>10.037000000000006</v>
      </c>
      <c r="L8" s="1"/>
      <c r="M8" s="1">
        <v>14.45</v>
      </c>
      <c r="N8" s="1">
        <v>18.759</v>
      </c>
      <c r="O8" s="1">
        <v>4.3090000000000011</v>
      </c>
      <c r="P8" s="1">
        <v>4.7090000000000014</v>
      </c>
      <c r="Q8" s="1"/>
      <c r="R8" s="1">
        <v>6.0709999999999997</v>
      </c>
      <c r="S8" s="1">
        <v>6.782</v>
      </c>
      <c r="T8" s="1">
        <v>0.7110000000000003</v>
      </c>
      <c r="U8" s="1">
        <v>5.4200000000000017</v>
      </c>
      <c r="V8" s="1">
        <v>54.00019926272789</v>
      </c>
      <c r="W8" s="1"/>
      <c r="X8" s="1">
        <v>14.46</v>
      </c>
      <c r="Y8" s="1">
        <v>26.771000000000001</v>
      </c>
      <c r="Z8" s="1">
        <v>12.311</v>
      </c>
      <c r="AA8" s="1">
        <v>35.174285714285716</v>
      </c>
    </row>
    <row r="9" spans="1:27" x14ac:dyDescent="0.3">
      <c r="A9">
        <v>6</v>
      </c>
      <c r="B9" s="19">
        <v>225</v>
      </c>
      <c r="C9" s="19">
        <v>6</v>
      </c>
      <c r="D9" s="19">
        <v>3.5</v>
      </c>
      <c r="E9" s="29">
        <v>25</v>
      </c>
      <c r="F9">
        <v>6</v>
      </c>
      <c r="G9" s="1">
        <v>107.73</v>
      </c>
      <c r="H9" s="1">
        <v>10.022</v>
      </c>
      <c r="I9" s="1">
        <v>117.75200000000001</v>
      </c>
      <c r="J9" s="1">
        <v>107.8</v>
      </c>
      <c r="K9" s="1">
        <v>9.9520000000000124</v>
      </c>
      <c r="L9" s="1"/>
      <c r="M9" s="1">
        <v>12.81</v>
      </c>
      <c r="N9" s="1">
        <v>16.84</v>
      </c>
      <c r="O9" s="1">
        <v>4.0299999999999994</v>
      </c>
      <c r="P9" s="1">
        <v>4.43</v>
      </c>
      <c r="Q9" s="1"/>
      <c r="R9" s="1"/>
      <c r="S9" s="1"/>
      <c r="T9" s="1">
        <v>0</v>
      </c>
      <c r="U9" s="1">
        <v>4.43</v>
      </c>
      <c r="V9" s="1">
        <v>44.513665594855247</v>
      </c>
      <c r="W9" s="1"/>
      <c r="X9" s="1">
        <v>12.87</v>
      </c>
      <c r="Y9" s="1">
        <v>26.491</v>
      </c>
      <c r="Z9" s="1">
        <v>13.621</v>
      </c>
      <c r="AA9" s="1">
        <v>38.917142857142856</v>
      </c>
    </row>
    <row r="10" spans="1:27" x14ac:dyDescent="0.3">
      <c r="A10">
        <v>7</v>
      </c>
      <c r="B10" s="19">
        <v>190</v>
      </c>
      <c r="C10" s="19">
        <v>3.5</v>
      </c>
      <c r="D10" s="19">
        <v>3.5</v>
      </c>
      <c r="E10" s="29">
        <v>10</v>
      </c>
      <c r="F10">
        <v>7</v>
      </c>
      <c r="G10" s="1">
        <v>49.555</v>
      </c>
      <c r="H10" s="1">
        <v>10.083</v>
      </c>
      <c r="I10" s="1">
        <v>59.637999999999998</v>
      </c>
      <c r="J10" s="1">
        <v>49.579000000000001</v>
      </c>
      <c r="K10" s="1">
        <v>10.058999999999997</v>
      </c>
      <c r="L10" s="1"/>
      <c r="M10" s="1">
        <v>14.398</v>
      </c>
      <c r="N10" s="1">
        <v>19.443999999999999</v>
      </c>
      <c r="O10" s="1">
        <v>5.0459999999999994</v>
      </c>
      <c r="P10" s="1">
        <v>5.4459999999999997</v>
      </c>
      <c r="Q10" s="1"/>
      <c r="R10" s="1">
        <v>6.194</v>
      </c>
      <c r="S10" s="1">
        <v>6.7439999999999998</v>
      </c>
      <c r="T10" s="1">
        <v>0.54999999999999982</v>
      </c>
      <c r="U10" s="1">
        <v>5.9959999999999996</v>
      </c>
      <c r="V10" s="1">
        <v>59.60831096530471</v>
      </c>
      <c r="W10" s="1"/>
      <c r="X10" s="1">
        <v>12.93</v>
      </c>
      <c r="Y10" s="1">
        <v>21.425999999999998</v>
      </c>
      <c r="Z10" s="1">
        <v>8.4959999999999987</v>
      </c>
      <c r="AA10" s="1">
        <v>24.27428571428571</v>
      </c>
    </row>
    <row r="11" spans="1:27" x14ac:dyDescent="0.3">
      <c r="A11">
        <v>8</v>
      </c>
      <c r="B11" s="19">
        <v>225</v>
      </c>
      <c r="C11" s="19">
        <v>3.5</v>
      </c>
      <c r="D11" s="19">
        <v>2.0000000000000009</v>
      </c>
      <c r="E11" s="29">
        <v>23</v>
      </c>
      <c r="F11">
        <v>8</v>
      </c>
      <c r="G11" s="1">
        <v>41.771999999999998</v>
      </c>
      <c r="H11" s="1">
        <v>10.029</v>
      </c>
      <c r="I11" s="1">
        <v>51.801000000000002</v>
      </c>
      <c r="J11" s="1">
        <v>41.808</v>
      </c>
      <c r="K11" s="1">
        <v>9.9930000000000021</v>
      </c>
      <c r="L11" s="1"/>
      <c r="M11" s="1">
        <v>12.865</v>
      </c>
      <c r="N11" s="1">
        <v>16.414999999999999</v>
      </c>
      <c r="O11" s="1">
        <v>3.5499999999999989</v>
      </c>
      <c r="P11" s="1">
        <v>3.9499999999999988</v>
      </c>
      <c r="Q11" s="1"/>
      <c r="R11" s="1">
        <v>6.0949999999999998</v>
      </c>
      <c r="S11" s="1">
        <v>6.4749999999999996</v>
      </c>
      <c r="T11" s="1">
        <v>0.37999999999999989</v>
      </c>
      <c r="U11" s="1">
        <v>4.3299999999999983</v>
      </c>
      <c r="V11" s="1">
        <v>43.330331231862282</v>
      </c>
      <c r="W11" s="1"/>
      <c r="X11" s="1">
        <v>14.445</v>
      </c>
      <c r="Y11" s="1">
        <v>17.827999999999999</v>
      </c>
      <c r="Z11" s="1">
        <v>3.3829999999999991</v>
      </c>
      <c r="AA11" s="1">
        <v>16.914999999999988</v>
      </c>
    </row>
    <row r="12" spans="1:27" x14ac:dyDescent="0.3">
      <c r="A12">
        <v>9</v>
      </c>
      <c r="B12" s="19">
        <v>246.43294549908146</v>
      </c>
      <c r="C12" s="19">
        <v>1.9690753214941825</v>
      </c>
      <c r="D12" s="19">
        <v>2.5814451928965099</v>
      </c>
      <c r="E12" s="29">
        <v>35</v>
      </c>
      <c r="F12">
        <v>9</v>
      </c>
      <c r="G12" s="1">
        <v>46.084000000000003</v>
      </c>
      <c r="H12" s="1">
        <v>10.097</v>
      </c>
      <c r="I12" s="1">
        <v>56.181000000000004</v>
      </c>
      <c r="J12" s="1">
        <v>46.131</v>
      </c>
      <c r="K12" s="1">
        <v>10.050000000000004</v>
      </c>
      <c r="L12" s="1"/>
      <c r="M12" s="1">
        <v>12.888</v>
      </c>
      <c r="N12" s="1">
        <v>16.523</v>
      </c>
      <c r="O12" s="1">
        <v>3.6349999999999998</v>
      </c>
      <c r="P12" s="1">
        <v>4.0350000000000001</v>
      </c>
      <c r="Q12" s="1"/>
      <c r="R12" s="1">
        <v>6.1079999999999997</v>
      </c>
      <c r="S12" s="1">
        <v>6.46</v>
      </c>
      <c r="T12" s="1">
        <v>0.35200000000000031</v>
      </c>
      <c r="U12" s="1">
        <v>4.3870000000000005</v>
      </c>
      <c r="V12" s="1">
        <v>43.651741293532325</v>
      </c>
      <c r="W12" s="1"/>
      <c r="X12" s="1">
        <v>12.933</v>
      </c>
      <c r="Y12" s="1">
        <v>21.670999999999999</v>
      </c>
      <c r="Z12" s="1">
        <v>8.7379999999999995</v>
      </c>
      <c r="AA12" s="1">
        <v>33.849256315976746</v>
      </c>
    </row>
    <row r="13" spans="1:27" s="10" customFormat="1" x14ac:dyDescent="0.3">
      <c r="A13" s="10">
        <v>10</v>
      </c>
      <c r="B13" s="9">
        <v>225</v>
      </c>
      <c r="C13" s="9">
        <v>3.5</v>
      </c>
      <c r="D13" s="9">
        <v>3.5</v>
      </c>
      <c r="E13" s="28">
        <v>25</v>
      </c>
      <c r="F13" s="10">
        <v>10</v>
      </c>
      <c r="G13" s="12">
        <v>41.787999999999997</v>
      </c>
      <c r="H13" s="12">
        <v>10.048999999999999</v>
      </c>
      <c r="I13" s="12">
        <v>51.836999999999996</v>
      </c>
      <c r="J13" s="12">
        <v>41.784999999999997</v>
      </c>
      <c r="K13" s="12">
        <v>10.052</v>
      </c>
      <c r="L13" s="12"/>
      <c r="M13" s="12">
        <v>12.866</v>
      </c>
      <c r="N13" s="12">
        <v>16.882000000000001</v>
      </c>
      <c r="O13" s="12">
        <v>4.0160000000000018</v>
      </c>
      <c r="P13" s="12">
        <v>4.4160000000000021</v>
      </c>
      <c r="Q13" s="12"/>
      <c r="R13" s="12">
        <v>6.0650000000000004</v>
      </c>
      <c r="S13" s="12">
        <v>6.6079999999999997</v>
      </c>
      <c r="T13" s="12">
        <v>0.54299999999999926</v>
      </c>
      <c r="U13" s="12">
        <v>4.9590000000000014</v>
      </c>
      <c r="V13" s="12">
        <v>49.333465976920031</v>
      </c>
      <c r="W13" s="12"/>
      <c r="X13" s="12">
        <v>14.39</v>
      </c>
      <c r="Y13" s="12">
        <v>27.004000000000001</v>
      </c>
      <c r="Z13" s="12">
        <v>12.614000000000001</v>
      </c>
      <c r="AA13" s="12">
        <v>36.04</v>
      </c>
    </row>
    <row r="14" spans="1:27" x14ac:dyDescent="0.3">
      <c r="A14">
        <v>11</v>
      </c>
      <c r="B14" s="19">
        <v>203.56705450091857</v>
      </c>
      <c r="C14" s="19">
        <v>1.9690753214941825</v>
      </c>
      <c r="D14" s="19">
        <v>2.5814451928965099</v>
      </c>
      <c r="E14" s="29">
        <v>14</v>
      </c>
      <c r="F14">
        <v>11</v>
      </c>
      <c r="G14" s="1">
        <v>48.252000000000002</v>
      </c>
      <c r="H14" s="1">
        <v>10.071999999999999</v>
      </c>
      <c r="I14" s="1">
        <v>58.323999999999998</v>
      </c>
      <c r="J14" s="1">
        <v>48.289000000000001</v>
      </c>
      <c r="K14" s="1">
        <v>10.034999999999997</v>
      </c>
      <c r="L14" s="1"/>
      <c r="M14" s="1">
        <v>12.936999999999999</v>
      </c>
      <c r="N14" s="1">
        <v>17.640999999999998</v>
      </c>
      <c r="O14" s="1">
        <v>4.7039999999999988</v>
      </c>
      <c r="P14" s="1">
        <v>5.1039999999999992</v>
      </c>
      <c r="Q14" s="1"/>
      <c r="R14" s="1">
        <v>5.9420000000000002</v>
      </c>
      <c r="S14" s="1">
        <v>6.5720000000000001</v>
      </c>
      <c r="T14" s="1">
        <v>0.62999999999999989</v>
      </c>
      <c r="U14" s="1">
        <v>5.7339999999999991</v>
      </c>
      <c r="V14" s="1">
        <v>57.140009965122083</v>
      </c>
      <c r="W14" s="1"/>
      <c r="X14" s="1">
        <v>14.409000000000001</v>
      </c>
      <c r="Y14" s="1">
        <v>17.571000000000002</v>
      </c>
      <c r="Z14" s="1">
        <v>3.1620000000000008</v>
      </c>
      <c r="AA14" s="1">
        <v>12.248952674653067</v>
      </c>
    </row>
    <row r="15" spans="1:27" s="10" customFormat="1" x14ac:dyDescent="0.3">
      <c r="A15" s="10">
        <v>12</v>
      </c>
      <c r="B15" s="9">
        <v>225</v>
      </c>
      <c r="C15" s="9">
        <v>3.5</v>
      </c>
      <c r="D15" s="9">
        <v>3.5</v>
      </c>
      <c r="E15" s="28">
        <v>25</v>
      </c>
      <c r="F15" s="10">
        <v>12</v>
      </c>
      <c r="G15" s="12">
        <v>49.554000000000002</v>
      </c>
      <c r="H15" s="12">
        <v>10</v>
      </c>
      <c r="I15" s="12">
        <v>59.554000000000002</v>
      </c>
      <c r="J15" s="12">
        <v>49.582000000000001</v>
      </c>
      <c r="K15" s="12">
        <v>9.9720000000000013</v>
      </c>
      <c r="L15" s="12"/>
      <c r="M15" s="12">
        <v>12.872</v>
      </c>
      <c r="N15" s="12">
        <v>16.797999999999998</v>
      </c>
      <c r="O15" s="12">
        <v>3.9259999999999984</v>
      </c>
      <c r="P15" s="12">
        <v>4.3259999999999987</v>
      </c>
      <c r="Q15" s="12"/>
      <c r="R15" s="12">
        <v>5.9459999999999997</v>
      </c>
      <c r="S15" s="12">
        <v>6.4</v>
      </c>
      <c r="T15" s="12">
        <v>0.45400000000000063</v>
      </c>
      <c r="U15" s="12">
        <v>4.7799999999999994</v>
      </c>
      <c r="V15" s="12">
        <v>47.934215804251892</v>
      </c>
      <c r="W15" s="12"/>
      <c r="X15" s="12">
        <v>14.500999999999999</v>
      </c>
      <c r="Y15" s="12">
        <v>28.113</v>
      </c>
      <c r="Z15" s="12">
        <v>13.612</v>
      </c>
      <c r="AA15" s="12">
        <v>38.89142857142857</v>
      </c>
    </row>
    <row r="16" spans="1:27" x14ac:dyDescent="0.3">
      <c r="A16">
        <v>13</v>
      </c>
      <c r="B16" s="19">
        <v>203.56705450091857</v>
      </c>
      <c r="C16" s="19">
        <v>5.0309246785058175</v>
      </c>
      <c r="D16" s="19">
        <v>2.5814451928965099</v>
      </c>
      <c r="E16" s="29"/>
      <c r="F16">
        <v>13</v>
      </c>
      <c r="G16" s="1">
        <v>102.774</v>
      </c>
      <c r="H16" s="1">
        <v>10.085000000000001</v>
      </c>
      <c r="I16" s="1">
        <v>112.85900000000001</v>
      </c>
      <c r="J16" s="1">
        <v>102.846</v>
      </c>
      <c r="K16" s="1">
        <v>10.013000000000005</v>
      </c>
      <c r="L16" s="1"/>
      <c r="M16" s="1">
        <v>14.409000000000001</v>
      </c>
      <c r="N16" s="1">
        <v>18.626000000000001</v>
      </c>
      <c r="O16" s="1">
        <v>4.2170000000000005</v>
      </c>
      <c r="P16" s="1">
        <v>4.6170000000000009</v>
      </c>
      <c r="Q16" s="1"/>
      <c r="R16" s="1">
        <v>6.0810000000000004</v>
      </c>
      <c r="S16" s="1">
        <v>6.7229999999999999</v>
      </c>
      <c r="T16" s="1">
        <v>0.64199999999999946</v>
      </c>
      <c r="U16" s="1">
        <v>5.2590000000000003</v>
      </c>
      <c r="V16" s="1">
        <v>52.521721761709749</v>
      </c>
      <c r="W16" s="1"/>
      <c r="X16" s="1">
        <v>14.422000000000001</v>
      </c>
      <c r="Y16" s="1">
        <v>15.9</v>
      </c>
      <c r="Z16" s="1">
        <v>1.4779999999999998</v>
      </c>
      <c r="AA16" s="1">
        <v>5.7254750326177186</v>
      </c>
    </row>
    <row r="17" spans="1:27" x14ac:dyDescent="0.3">
      <c r="A17">
        <v>14</v>
      </c>
      <c r="B17" s="19">
        <v>203.56705450091857</v>
      </c>
      <c r="C17" s="19">
        <v>5.0309246785058175</v>
      </c>
      <c r="D17" s="19">
        <v>4.4185548071034901</v>
      </c>
      <c r="E17" s="29">
        <v>18</v>
      </c>
      <c r="F17">
        <v>14</v>
      </c>
      <c r="G17" s="1">
        <v>129.00700000000001</v>
      </c>
      <c r="H17" s="1">
        <v>10.066000000000001</v>
      </c>
      <c r="I17" s="1">
        <v>139.07300000000001</v>
      </c>
      <c r="J17" s="1">
        <v>129.09299999999999</v>
      </c>
      <c r="K17" s="1">
        <v>9.9800000000000182</v>
      </c>
      <c r="L17" s="1"/>
      <c r="M17" s="1">
        <v>14.423999999999999</v>
      </c>
      <c r="N17" s="1">
        <v>18.36</v>
      </c>
      <c r="O17" s="1">
        <v>3.9359999999999999</v>
      </c>
      <c r="P17" s="1">
        <v>4.3360000000000003</v>
      </c>
      <c r="Q17" s="1"/>
      <c r="R17" s="1">
        <v>6.14</v>
      </c>
      <c r="S17" s="1">
        <v>6.665</v>
      </c>
      <c r="T17" s="1">
        <v>0.52500000000000036</v>
      </c>
      <c r="U17" s="1">
        <v>4.8610000000000007</v>
      </c>
      <c r="V17" s="1">
        <v>48.707414829659236</v>
      </c>
      <c r="W17" s="1"/>
      <c r="X17" s="1">
        <v>14.45</v>
      </c>
      <c r="Y17" s="1">
        <v>34.664999999999999</v>
      </c>
      <c r="Z17" s="1">
        <v>20.215</v>
      </c>
      <c r="AA17" s="1">
        <v>45.750252927725036</v>
      </c>
    </row>
    <row r="18" spans="1:27" x14ac:dyDescent="0.3">
      <c r="A18">
        <v>15</v>
      </c>
      <c r="B18" s="19">
        <v>246.43294549908146</v>
      </c>
      <c r="C18" s="19">
        <v>5.0309246785058175</v>
      </c>
      <c r="D18" s="19">
        <v>2.5814451928965099</v>
      </c>
      <c r="E18" s="29">
        <v>37</v>
      </c>
      <c r="F18">
        <v>15</v>
      </c>
      <c r="G18" s="1">
        <v>100.97799999999999</v>
      </c>
      <c r="H18" s="1">
        <v>10.06</v>
      </c>
      <c r="I18" s="1">
        <v>111.038</v>
      </c>
      <c r="J18" s="1">
        <v>101.038</v>
      </c>
      <c r="K18" s="1">
        <v>10</v>
      </c>
      <c r="L18" s="1"/>
      <c r="M18" s="1">
        <v>12.933999999999999</v>
      </c>
      <c r="N18" s="1">
        <v>16.847000000000001</v>
      </c>
      <c r="O18" s="1">
        <v>3.913000000000002</v>
      </c>
      <c r="P18" s="1">
        <v>4.3130000000000024</v>
      </c>
      <c r="Q18" s="1"/>
      <c r="R18" s="1">
        <v>5.915</v>
      </c>
      <c r="S18" s="1">
        <v>6.31</v>
      </c>
      <c r="T18" s="1">
        <v>0.39499999999999957</v>
      </c>
      <c r="U18" s="1">
        <v>4.708000000000002</v>
      </c>
      <c r="V18" s="1">
        <v>47.08000000000002</v>
      </c>
      <c r="W18" s="1"/>
      <c r="X18" s="1">
        <v>14.487</v>
      </c>
      <c r="Y18" s="1">
        <v>22.503</v>
      </c>
      <c r="Z18" s="1">
        <v>8.016</v>
      </c>
      <c r="AA18" s="1">
        <v>31.052373383940218</v>
      </c>
    </row>
    <row r="19" spans="1:27" x14ac:dyDescent="0.3">
      <c r="A19">
        <v>16</v>
      </c>
      <c r="B19" s="19">
        <v>203.56705450091857</v>
      </c>
      <c r="C19" s="19">
        <v>1.9690753214941825</v>
      </c>
      <c r="D19" s="19">
        <v>4.4185548071034901</v>
      </c>
      <c r="E19" s="29"/>
      <c r="F19">
        <v>16</v>
      </c>
      <c r="G19" s="1">
        <v>72.435000000000002</v>
      </c>
      <c r="H19" s="1">
        <v>10.09</v>
      </c>
      <c r="I19" s="1">
        <v>82.525000000000006</v>
      </c>
      <c r="J19" s="1">
        <v>72.481999999999999</v>
      </c>
      <c r="K19" s="1">
        <v>10.043000000000006</v>
      </c>
      <c r="L19" s="1"/>
      <c r="M19" s="1">
        <v>12.865</v>
      </c>
      <c r="N19" s="1">
        <v>17.687999999999999</v>
      </c>
      <c r="O19" s="1">
        <v>4.8229999999999986</v>
      </c>
      <c r="P19" s="1">
        <v>5.222999999999999</v>
      </c>
      <c r="Q19" s="1"/>
      <c r="R19" s="1">
        <v>5.968</v>
      </c>
      <c r="S19" s="1">
        <v>6.4809999999999999</v>
      </c>
      <c r="T19" s="1">
        <v>0.5129999999999999</v>
      </c>
      <c r="U19" s="1">
        <v>5.7359999999999989</v>
      </c>
      <c r="V19" s="1">
        <v>57.114408045404709</v>
      </c>
      <c r="W19" s="1"/>
      <c r="X19" s="1">
        <v>14.461</v>
      </c>
      <c r="Y19" s="1">
        <v>32.290999999999997</v>
      </c>
      <c r="Z19" s="1">
        <v>17.829999999999998</v>
      </c>
      <c r="AA19" s="1">
        <v>40.352560460120571</v>
      </c>
    </row>
    <row r="20" spans="1:27" x14ac:dyDescent="0.3">
      <c r="A20">
        <v>17</v>
      </c>
      <c r="B20" s="19">
        <v>246.43294549908146</v>
      </c>
      <c r="C20" s="19">
        <v>1.9690753214941825</v>
      </c>
      <c r="D20" s="19">
        <v>4.4185548071034901</v>
      </c>
      <c r="E20" s="29">
        <v>36</v>
      </c>
      <c r="F20">
        <v>17</v>
      </c>
      <c r="G20" s="1">
        <v>108.871</v>
      </c>
      <c r="H20" s="1">
        <v>10.06</v>
      </c>
      <c r="I20" s="1">
        <v>118.931</v>
      </c>
      <c r="J20" s="1">
        <v>108.946</v>
      </c>
      <c r="K20" s="1">
        <v>9.9849999999999994</v>
      </c>
      <c r="L20" s="1"/>
      <c r="M20" s="1">
        <v>12.907</v>
      </c>
      <c r="N20" s="1">
        <v>16.501000000000001</v>
      </c>
      <c r="O20" s="1">
        <v>3.5940000000000012</v>
      </c>
      <c r="P20" s="1">
        <v>3.9940000000000011</v>
      </c>
      <c r="Q20" s="1"/>
      <c r="R20" s="1">
        <v>6.0279999999999996</v>
      </c>
      <c r="S20" s="1">
        <v>6.3289999999999997</v>
      </c>
      <c r="T20" s="1">
        <v>0.30100000000000016</v>
      </c>
      <c r="U20" s="1">
        <v>4.2950000000000017</v>
      </c>
      <c r="V20" s="1">
        <v>43.014521782674031</v>
      </c>
      <c r="W20" s="1"/>
      <c r="X20" s="1">
        <v>12.882</v>
      </c>
      <c r="Y20" s="1">
        <v>35.875</v>
      </c>
      <c r="Z20" s="1">
        <v>22.993000000000002</v>
      </c>
      <c r="AA20" s="1">
        <v>52.03737648118635</v>
      </c>
    </row>
    <row r="21" spans="1:27" s="10" customFormat="1" x14ac:dyDescent="0.3">
      <c r="A21" s="10">
        <v>18</v>
      </c>
      <c r="B21" s="9">
        <v>225</v>
      </c>
      <c r="C21" s="9">
        <v>3.5</v>
      </c>
      <c r="D21" s="9">
        <v>3.5</v>
      </c>
      <c r="E21" s="28">
        <v>21</v>
      </c>
      <c r="F21" s="10">
        <v>18</v>
      </c>
      <c r="G21" s="12">
        <v>42.463000000000001</v>
      </c>
      <c r="H21" s="12">
        <v>10.095000000000001</v>
      </c>
      <c r="I21" s="12">
        <v>52.558</v>
      </c>
      <c r="J21" s="12">
        <v>42.502000000000002</v>
      </c>
      <c r="K21" s="12">
        <v>10.055999999999997</v>
      </c>
      <c r="L21" s="12"/>
      <c r="M21" s="12">
        <v>12.917</v>
      </c>
      <c r="N21" s="12">
        <v>16.943000000000001</v>
      </c>
      <c r="O21" s="12">
        <v>4.0260000000000016</v>
      </c>
      <c r="P21" s="12">
        <v>4.4260000000000019</v>
      </c>
      <c r="Q21" s="12"/>
      <c r="R21" s="12">
        <v>5.99</v>
      </c>
      <c r="S21" s="12">
        <v>6.5140000000000002</v>
      </c>
      <c r="T21" s="12">
        <v>0.52400000000000002</v>
      </c>
      <c r="U21" s="12">
        <v>4.950000000000002</v>
      </c>
      <c r="V21" s="12">
        <v>49.224343675417693</v>
      </c>
      <c r="W21" s="12"/>
      <c r="X21" s="12">
        <v>14.497</v>
      </c>
      <c r="Y21" s="12">
        <v>27.55</v>
      </c>
      <c r="Z21" s="12">
        <v>13.053000000000001</v>
      </c>
      <c r="AA21" s="12">
        <v>37.294285714285721</v>
      </c>
    </row>
    <row r="22" spans="1:27" s="10" customFormat="1" x14ac:dyDescent="0.3">
      <c r="A22" s="10">
        <v>19</v>
      </c>
      <c r="B22" s="9">
        <v>225</v>
      </c>
      <c r="C22" s="9">
        <v>3.5</v>
      </c>
      <c r="D22" s="9">
        <v>3.5</v>
      </c>
      <c r="E22" s="28">
        <v>24</v>
      </c>
      <c r="F22" s="10">
        <v>19</v>
      </c>
      <c r="G22" s="12">
        <v>46.03</v>
      </c>
      <c r="H22" s="12">
        <v>10.077999999999999</v>
      </c>
      <c r="I22" s="12">
        <v>56.108000000000004</v>
      </c>
      <c r="J22" s="12">
        <v>46.067</v>
      </c>
      <c r="K22" s="12">
        <v>10.041000000000004</v>
      </c>
      <c r="L22" s="12"/>
      <c r="M22" s="12">
        <v>12.946999999999999</v>
      </c>
      <c r="N22" s="12">
        <v>17.088000000000001</v>
      </c>
      <c r="O22" s="12">
        <v>4.1410000000000018</v>
      </c>
      <c r="P22" s="12">
        <v>4.5410000000000021</v>
      </c>
      <c r="Q22" s="12"/>
      <c r="R22" s="12">
        <v>6.0339999999999998</v>
      </c>
      <c r="S22" s="12">
        <v>6.4880000000000004</v>
      </c>
      <c r="T22" s="12">
        <v>0.45400000000000063</v>
      </c>
      <c r="U22" s="12">
        <v>4.9950000000000028</v>
      </c>
      <c r="V22" s="12">
        <v>49.746041230953104</v>
      </c>
      <c r="W22" s="12"/>
      <c r="X22" s="12">
        <v>12.894</v>
      </c>
      <c r="Y22" s="12">
        <v>26.282</v>
      </c>
      <c r="Z22" s="12">
        <v>13.388</v>
      </c>
      <c r="AA22" s="12">
        <v>38.251428571428569</v>
      </c>
    </row>
    <row r="23" spans="1:27" x14ac:dyDescent="0.3">
      <c r="A23">
        <v>20</v>
      </c>
      <c r="B23" s="19">
        <v>246.43294549908146</v>
      </c>
      <c r="C23" s="19">
        <v>5.0309246785058175</v>
      </c>
      <c r="D23" s="19">
        <v>4.4185548071034901</v>
      </c>
      <c r="E23" s="29">
        <v>35</v>
      </c>
      <c r="F23">
        <v>20</v>
      </c>
      <c r="G23" s="1">
        <v>42.664000000000001</v>
      </c>
      <c r="H23" s="1">
        <v>10.012</v>
      </c>
      <c r="I23" s="1">
        <v>52.676000000000002</v>
      </c>
      <c r="J23" s="1">
        <v>42.692</v>
      </c>
      <c r="K23" s="1">
        <v>9.9840000000000018</v>
      </c>
      <c r="L23" s="1"/>
      <c r="M23" s="1">
        <v>14.352</v>
      </c>
      <c r="N23" s="1">
        <v>17.989999999999998</v>
      </c>
      <c r="O23" s="1">
        <v>3.6379999999999981</v>
      </c>
      <c r="P23" s="1">
        <v>4.0379999999999985</v>
      </c>
      <c r="Q23" s="1"/>
      <c r="R23" s="1">
        <v>6.1059999999999999</v>
      </c>
      <c r="S23" s="1">
        <v>6.4829999999999997</v>
      </c>
      <c r="T23" s="1">
        <v>0.37699999999999978</v>
      </c>
      <c r="U23" s="1">
        <v>4.4149999999999983</v>
      </c>
      <c r="V23" s="1">
        <v>44.220753205128183</v>
      </c>
      <c r="W23" s="1"/>
      <c r="X23" s="1">
        <v>14.406000000000001</v>
      </c>
      <c r="Y23" s="1">
        <v>21.425999999999998</v>
      </c>
      <c r="Z23" s="1">
        <v>7.0199999999999978</v>
      </c>
      <c r="AA23" s="1">
        <v>15.88754764049615</v>
      </c>
    </row>
    <row r="25" spans="1:27" x14ac:dyDescent="0.3">
      <c r="T25" t="s">
        <v>53</v>
      </c>
      <c r="U25" s="1">
        <v>4.8431500000000005</v>
      </c>
      <c r="V25" s="1">
        <v>48.354486304088006</v>
      </c>
    </row>
  </sheetData>
  <mergeCells count="12">
    <mergeCell ref="X2:AA2"/>
    <mergeCell ref="B2:B3"/>
    <mergeCell ref="C2:C3"/>
    <mergeCell ref="D2:D3"/>
    <mergeCell ref="E2:E3"/>
    <mergeCell ref="F2:F3"/>
    <mergeCell ref="G2:K2"/>
    <mergeCell ref="M2:P2"/>
    <mergeCell ref="R2:S2"/>
    <mergeCell ref="T2:T3"/>
    <mergeCell ref="U2:U3"/>
    <mergeCell ref="V2:V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workbookViewId="0">
      <selection activeCell="D2" sqref="D2"/>
    </sheetView>
  </sheetViews>
  <sheetFormatPr defaultRowHeight="14.4" x14ac:dyDescent="0.3"/>
  <sheetData>
    <row r="1" spans="1:6" x14ac:dyDescent="0.3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</row>
    <row r="2" spans="1:6" x14ac:dyDescent="0.3">
      <c r="A2" s="20">
        <f>CHN!G19</f>
        <v>63.104999999999997</v>
      </c>
      <c r="B2" s="20">
        <f>CHN!K19</f>
        <v>6.1300000000000008</v>
      </c>
      <c r="C2" s="20">
        <f>CHN!O19</f>
        <v>3.65</v>
      </c>
      <c r="D2">
        <f t="shared" ref="D2:D21" si="0">C2/A2</f>
        <v>5.7840107756913083E-2</v>
      </c>
      <c r="E2">
        <f t="shared" ref="E2:E21" si="1">A2/C2</f>
        <v>17.289041095890411</v>
      </c>
      <c r="F2">
        <v>16</v>
      </c>
    </row>
    <row r="3" spans="1:6" x14ac:dyDescent="0.3">
      <c r="A3" s="20">
        <f>CHN!G8</f>
        <v>65.105000000000004</v>
      </c>
      <c r="B3" s="20">
        <f>CHN!K8</f>
        <v>6.165</v>
      </c>
      <c r="C3" s="20">
        <f>CHN!O8</f>
        <v>3.9950000000000001</v>
      </c>
      <c r="D3">
        <f t="shared" si="0"/>
        <v>6.1362414561093613E-2</v>
      </c>
      <c r="E3">
        <f t="shared" si="1"/>
        <v>16.296620775969963</v>
      </c>
      <c r="F3">
        <v>5</v>
      </c>
    </row>
    <row r="4" spans="1:6" x14ac:dyDescent="0.3">
      <c r="A4" s="20">
        <f>CHN!G14</f>
        <v>61.989999999999995</v>
      </c>
      <c r="B4" s="20">
        <f>CHN!K14</f>
        <v>6.16</v>
      </c>
      <c r="C4" s="20">
        <f>CHN!O14</f>
        <v>3.8149999999999999</v>
      </c>
      <c r="D4">
        <f t="shared" si="0"/>
        <v>6.1542184223261819E-2</v>
      </c>
      <c r="E4">
        <f t="shared" si="1"/>
        <v>16.249017038007864</v>
      </c>
      <c r="F4">
        <v>11</v>
      </c>
    </row>
    <row r="5" spans="1:6" x14ac:dyDescent="0.3">
      <c r="A5" s="20">
        <f>CHN!G17</f>
        <v>65.265000000000001</v>
      </c>
      <c r="B5" s="20">
        <f>CHN!K17</f>
        <v>6.03</v>
      </c>
      <c r="C5" s="20">
        <f>CHN!O17</f>
        <v>4.0449999999999999</v>
      </c>
      <c r="D5">
        <f t="shared" si="0"/>
        <v>6.1978089328123799E-2</v>
      </c>
      <c r="E5">
        <f t="shared" si="1"/>
        <v>16.134734239802224</v>
      </c>
      <c r="F5">
        <v>14</v>
      </c>
    </row>
    <row r="6" spans="1:6" x14ac:dyDescent="0.3">
      <c r="A6" s="20">
        <f>CHN!G9</f>
        <v>70.375</v>
      </c>
      <c r="B6" s="20">
        <f>CHN!K9</f>
        <v>6.25</v>
      </c>
      <c r="C6" s="20">
        <f>CHN!O9</f>
        <v>4.37</v>
      </c>
      <c r="D6">
        <f t="shared" si="0"/>
        <v>6.2095914742451158E-2</v>
      </c>
      <c r="E6">
        <f t="shared" si="1"/>
        <v>16.10411899313501</v>
      </c>
      <c r="F6">
        <v>6</v>
      </c>
    </row>
    <row r="7" spans="1:6" x14ac:dyDescent="0.3">
      <c r="A7" s="20">
        <f>CHN!G10</f>
        <v>60.86</v>
      </c>
      <c r="B7" s="20">
        <f>CHN!K10</f>
        <v>6.02</v>
      </c>
      <c r="C7" s="20">
        <f>CHN!O10</f>
        <v>3.8</v>
      </c>
      <c r="D7">
        <f t="shared" si="0"/>
        <v>6.2438383174498846E-2</v>
      </c>
      <c r="E7">
        <f t="shared" si="1"/>
        <v>16.015789473684212</v>
      </c>
      <c r="F7">
        <v>7</v>
      </c>
    </row>
    <row r="8" spans="1:6" x14ac:dyDescent="0.3">
      <c r="A8" s="20">
        <f>CHN!G22</f>
        <v>69.405000000000001</v>
      </c>
      <c r="B8" s="20">
        <f>CHN!K22</f>
        <v>6.1449999999999996</v>
      </c>
      <c r="C8" s="20">
        <f>CHN!O22</f>
        <v>4.34</v>
      </c>
      <c r="D8">
        <f t="shared" si="0"/>
        <v>6.2531517902168432E-2</v>
      </c>
      <c r="E8">
        <f t="shared" si="1"/>
        <v>15.991935483870968</v>
      </c>
      <c r="F8">
        <v>19</v>
      </c>
    </row>
    <row r="9" spans="1:6" x14ac:dyDescent="0.3">
      <c r="A9" s="20">
        <f>CHN!G21</f>
        <v>69.069999999999993</v>
      </c>
      <c r="B9" s="20">
        <f>CHN!K21</f>
        <v>6.05</v>
      </c>
      <c r="C9" s="20">
        <f>CHN!O21</f>
        <v>4.34</v>
      </c>
      <c r="D9">
        <f t="shared" si="0"/>
        <v>6.2834805270015934E-2</v>
      </c>
      <c r="E9">
        <f t="shared" si="1"/>
        <v>15.914746543778801</v>
      </c>
      <c r="F9">
        <v>18</v>
      </c>
    </row>
    <row r="10" spans="1:6" x14ac:dyDescent="0.3">
      <c r="A10" s="20">
        <f>CHN!G16</f>
        <v>63.019999999999996</v>
      </c>
      <c r="B10" s="20">
        <f>CHN!K16</f>
        <v>6.1449999999999996</v>
      </c>
      <c r="C10" s="20">
        <f>CHN!O16</f>
        <v>3.9899999999999998</v>
      </c>
      <c r="D10">
        <f t="shared" si="0"/>
        <v>6.3313233894001911E-2</v>
      </c>
      <c r="E10">
        <f t="shared" si="1"/>
        <v>15.794486215538846</v>
      </c>
      <c r="F10">
        <v>13</v>
      </c>
    </row>
    <row r="11" spans="1:6" x14ac:dyDescent="0.3">
      <c r="A11" s="20">
        <f>CHN!G6</f>
        <v>72.44</v>
      </c>
      <c r="B11" s="20">
        <f>CHN!K6</f>
        <v>5.6950000000000003</v>
      </c>
      <c r="C11" s="20">
        <f>CHN!O6</f>
        <v>4.59</v>
      </c>
      <c r="D11">
        <f t="shared" si="0"/>
        <v>6.3362782992821651E-2</v>
      </c>
      <c r="E11">
        <f t="shared" si="1"/>
        <v>15.782135076252723</v>
      </c>
      <c r="F11">
        <v>3</v>
      </c>
    </row>
    <row r="12" spans="1:6" x14ac:dyDescent="0.3">
      <c r="A12" s="20">
        <f>CHN!G13</f>
        <v>68.64</v>
      </c>
      <c r="B12" s="20">
        <f>CHN!K13</f>
        <v>6.04</v>
      </c>
      <c r="C12" s="20">
        <f>CHN!O13</f>
        <v>4.3599999999999994</v>
      </c>
      <c r="D12">
        <f t="shared" si="0"/>
        <v>6.3519813519813506E-2</v>
      </c>
      <c r="E12">
        <f t="shared" si="1"/>
        <v>15.743119266055048</v>
      </c>
      <c r="F12">
        <v>10</v>
      </c>
    </row>
    <row r="13" spans="1:6" x14ac:dyDescent="0.3">
      <c r="A13" s="20">
        <f>CHN!G18</f>
        <v>72.02000000000001</v>
      </c>
      <c r="B13" s="20">
        <f>CHN!K18</f>
        <v>6.2100000000000009</v>
      </c>
      <c r="C13" s="20">
        <f>CHN!O18</f>
        <v>4.59</v>
      </c>
      <c r="D13">
        <f t="shared" si="0"/>
        <v>6.373229658428213E-2</v>
      </c>
      <c r="E13">
        <f t="shared" si="1"/>
        <v>15.690631808278869</v>
      </c>
      <c r="F13">
        <v>15</v>
      </c>
    </row>
    <row r="14" spans="1:6" x14ac:dyDescent="0.3">
      <c r="A14" s="20">
        <f>CHN!G15</f>
        <v>68.765000000000001</v>
      </c>
      <c r="B14" s="20">
        <f>CHN!K15</f>
        <v>6.0250000000000004</v>
      </c>
      <c r="C14" s="20">
        <f>CHN!O15</f>
        <v>4.3900000000000006</v>
      </c>
      <c r="D14">
        <f t="shared" si="0"/>
        <v>6.3840616592743413E-2</v>
      </c>
      <c r="E14">
        <f t="shared" si="1"/>
        <v>15.664009111617311</v>
      </c>
      <c r="F14">
        <v>12</v>
      </c>
    </row>
    <row r="15" spans="1:6" x14ac:dyDescent="0.3">
      <c r="A15" s="20">
        <f>CHN!G12</f>
        <v>70.765000000000001</v>
      </c>
      <c r="B15" s="20">
        <f>CHN!K12</f>
        <v>6.17</v>
      </c>
      <c r="C15" s="20">
        <f>CHN!O12</f>
        <v>4.5299999999999994</v>
      </c>
      <c r="D15">
        <f t="shared" si="0"/>
        <v>6.4014696530770854E-2</v>
      </c>
      <c r="E15">
        <f t="shared" si="1"/>
        <v>15.621412803532012</v>
      </c>
      <c r="F15">
        <v>9</v>
      </c>
    </row>
    <row r="16" spans="1:6" x14ac:dyDescent="0.3">
      <c r="A16" s="20">
        <f>CHN!G5</f>
        <v>67.814999999999998</v>
      </c>
      <c r="B16" s="20">
        <f>CHN!K5</f>
        <v>5.9550000000000001</v>
      </c>
      <c r="C16" s="20">
        <f>CHN!O5</f>
        <v>4.4249999999999998</v>
      </c>
      <c r="D16">
        <f t="shared" si="0"/>
        <v>6.5251050652510509E-2</v>
      </c>
      <c r="E16">
        <f t="shared" si="1"/>
        <v>15.32542372881356</v>
      </c>
      <c r="F16">
        <v>2</v>
      </c>
    </row>
    <row r="17" spans="1:6" x14ac:dyDescent="0.3">
      <c r="A17" s="20">
        <f>CHN!G20</f>
        <v>70.760000000000005</v>
      </c>
      <c r="B17" s="20">
        <f>CHN!K20</f>
        <v>5.8800000000000008</v>
      </c>
      <c r="C17" s="20">
        <f>CHN!O20</f>
        <v>4.6500000000000004</v>
      </c>
      <c r="D17">
        <f t="shared" si="0"/>
        <v>6.571509327303561E-2</v>
      </c>
      <c r="E17">
        <f t="shared" si="1"/>
        <v>15.217204301075268</v>
      </c>
      <c r="F17">
        <v>17</v>
      </c>
    </row>
    <row r="18" spans="1:6" x14ac:dyDescent="0.3">
      <c r="A18" s="20">
        <f>CHN!G23</f>
        <v>70.52000000000001</v>
      </c>
      <c r="B18" s="20">
        <f>CHN!K23</f>
        <v>5.9350000000000005</v>
      </c>
      <c r="C18" s="20">
        <f>CHN!O23</f>
        <v>4.6500000000000004</v>
      </c>
      <c r="D18">
        <f t="shared" si="0"/>
        <v>6.5938740782756661E-2</v>
      </c>
      <c r="E18">
        <f t="shared" si="1"/>
        <v>15.165591397849463</v>
      </c>
      <c r="F18">
        <v>20</v>
      </c>
    </row>
    <row r="19" spans="1:6" x14ac:dyDescent="0.3">
      <c r="A19" s="20">
        <f>CHN!G7</f>
        <v>68.625</v>
      </c>
      <c r="B19" s="20">
        <f>CHN!K7</f>
        <v>5.8</v>
      </c>
      <c r="C19" s="20">
        <f>CHN!O7</f>
        <v>4.5949999999999998</v>
      </c>
      <c r="D19">
        <f t="shared" si="0"/>
        <v>6.6958105646630239E-2</v>
      </c>
      <c r="E19">
        <f t="shared" si="1"/>
        <v>14.934711643090317</v>
      </c>
      <c r="F19">
        <v>4</v>
      </c>
    </row>
    <row r="20" spans="1:6" x14ac:dyDescent="0.3">
      <c r="A20" s="20">
        <f>CHN!G4</f>
        <v>67.710000000000008</v>
      </c>
      <c r="B20" s="20">
        <f>CHN!K4</f>
        <v>5.82</v>
      </c>
      <c r="C20" s="20">
        <f>CHN!O4</f>
        <v>4.6099999999999994</v>
      </c>
      <c r="D20">
        <f t="shared" si="0"/>
        <v>6.8084477920543479E-2</v>
      </c>
      <c r="E20">
        <f t="shared" si="1"/>
        <v>14.687635574837314</v>
      </c>
      <c r="F20">
        <v>1</v>
      </c>
    </row>
    <row r="21" spans="1:6" x14ac:dyDescent="0.3">
      <c r="A21" s="20">
        <f>CHN!G11</f>
        <v>68.004999999999995</v>
      </c>
      <c r="B21" s="20">
        <f>CHN!K11</f>
        <v>5.9399999999999995</v>
      </c>
      <c r="C21" s="20">
        <f>CHN!O11</f>
        <v>4.7100000000000009</v>
      </c>
      <c r="D21">
        <f t="shared" si="0"/>
        <v>6.9259613263730618E-2</v>
      </c>
      <c r="E21">
        <f t="shared" si="1"/>
        <v>14.438428874734603</v>
      </c>
      <c r="F21">
        <v>8</v>
      </c>
    </row>
  </sheetData>
  <sortState xmlns:xlrd2="http://schemas.microsoft.com/office/spreadsheetml/2017/richdata2" ref="A2:F21">
    <sortCondition ref="D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CHN</vt:lpstr>
      <vt:lpstr>Sheet1</vt:lpstr>
      <vt:lpstr>Mass balance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Chan</dc:creator>
  <cp:lastModifiedBy>Jackie Massaya</cp:lastModifiedBy>
  <dcterms:created xsi:type="dcterms:W3CDTF">2019-04-18T23:28:35Z</dcterms:created>
  <dcterms:modified xsi:type="dcterms:W3CDTF">2021-01-12T12:09:28Z</dcterms:modified>
</cp:coreProperties>
</file>