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X:\Chem Eng\ResearchProjects\CChuck\EG-CE1152 - Jackie Massaya\Experiments\SCG biorefinery paper\"/>
    </mc:Choice>
  </mc:AlternateContent>
  <xr:revisionPtr revIDLastSave="0" documentId="13_ncr:1_{A3FD5FD0-073C-4F36-9409-6A9301458D31}" xr6:coauthVersionLast="45" xr6:coauthVersionMax="45" xr10:uidLastSave="{00000000-0000-0000-0000-000000000000}"/>
  <bookViews>
    <workbookView xWindow="20505" yWindow="870" windowWidth="9135" windowHeight="8813" activeTab="1" xr2:uid="{00000000-000D-0000-FFFF-FFFF00000000}"/>
  </bookViews>
  <sheets>
    <sheet name="gallic acid calibration" sheetId="1" r:id="rId1"/>
    <sheet name="sweccd" sheetId="2" r:id="rId2"/>
    <sheet name="lit and summary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32" i="2" l="1"/>
  <c r="C32" i="2"/>
  <c r="D32" i="2"/>
  <c r="E32" i="2"/>
  <c r="G32" i="2"/>
  <c r="K32" i="2" s="1"/>
  <c r="H32" i="2"/>
  <c r="I32" i="2"/>
  <c r="J32" i="2"/>
  <c r="B33" i="2"/>
  <c r="C33" i="2"/>
  <c r="D33" i="2"/>
  <c r="E33" i="2"/>
  <c r="J33" i="2" s="1"/>
  <c r="G33" i="2"/>
  <c r="K33" i="2" s="1"/>
  <c r="H33" i="2"/>
  <c r="I33" i="2"/>
  <c r="B34" i="2"/>
  <c r="C34" i="2"/>
  <c r="D34" i="2"/>
  <c r="I34" i="2" s="1"/>
  <c r="E34" i="2"/>
  <c r="J34" i="2" s="1"/>
  <c r="G34" i="2"/>
  <c r="K34" i="2" s="1"/>
  <c r="H34" i="2"/>
  <c r="B35" i="2"/>
  <c r="C35" i="2"/>
  <c r="H35" i="2" s="1"/>
  <c r="D35" i="2"/>
  <c r="I35" i="2" s="1"/>
  <c r="E35" i="2"/>
  <c r="J35" i="2" s="1"/>
  <c r="G35" i="2"/>
  <c r="B36" i="2"/>
  <c r="G36" i="2" s="1"/>
  <c r="C36" i="2"/>
  <c r="H36" i="2" s="1"/>
  <c r="D36" i="2"/>
  <c r="I36" i="2" s="1"/>
  <c r="E36" i="2"/>
  <c r="J36" i="2" s="1"/>
  <c r="B37" i="2"/>
  <c r="G37" i="2" s="1"/>
  <c r="C37" i="2"/>
  <c r="H37" i="2" s="1"/>
  <c r="D37" i="2"/>
  <c r="I37" i="2" s="1"/>
  <c r="E37" i="2"/>
  <c r="J37" i="2"/>
  <c r="B38" i="2"/>
  <c r="G38" i="2" s="1"/>
  <c r="C38" i="2"/>
  <c r="H38" i="2" s="1"/>
  <c r="D38" i="2"/>
  <c r="E38" i="2"/>
  <c r="I38" i="2"/>
  <c r="J38" i="2"/>
  <c r="B39" i="2"/>
  <c r="G39" i="2" s="1"/>
  <c r="K39" i="2" s="1"/>
  <c r="C39" i="2"/>
  <c r="D39" i="2"/>
  <c r="E39" i="2"/>
  <c r="H39" i="2"/>
  <c r="I39" i="2"/>
  <c r="J39" i="2"/>
  <c r="B40" i="2"/>
  <c r="C40" i="2"/>
  <c r="D40" i="2"/>
  <c r="E40" i="2"/>
  <c r="G40" i="2"/>
  <c r="K40" i="2" s="1"/>
  <c r="H40" i="2"/>
  <c r="I40" i="2"/>
  <c r="J40" i="2"/>
  <c r="B41" i="2"/>
  <c r="C41" i="2"/>
  <c r="D41" i="2"/>
  <c r="E41" i="2"/>
  <c r="J41" i="2" s="1"/>
  <c r="G41" i="2"/>
  <c r="K41" i="2" s="1"/>
  <c r="H41" i="2"/>
  <c r="I41" i="2"/>
  <c r="B42" i="2"/>
  <c r="C42" i="2"/>
  <c r="D42" i="2"/>
  <c r="I42" i="2" s="1"/>
  <c r="E42" i="2"/>
  <c r="J42" i="2" s="1"/>
  <c r="G42" i="2"/>
  <c r="K42" i="2" s="1"/>
  <c r="H42" i="2"/>
  <c r="B43" i="2"/>
  <c r="C43" i="2"/>
  <c r="H43" i="2" s="1"/>
  <c r="D43" i="2"/>
  <c r="I43" i="2" s="1"/>
  <c r="E43" i="2"/>
  <c r="J43" i="2" s="1"/>
  <c r="G43" i="2"/>
  <c r="B44" i="2"/>
  <c r="G44" i="2" s="1"/>
  <c r="C44" i="2"/>
  <c r="H44" i="2" s="1"/>
  <c r="D44" i="2"/>
  <c r="I44" i="2" s="1"/>
  <c r="E44" i="2"/>
  <c r="J44" i="2" s="1"/>
  <c r="B45" i="2"/>
  <c r="G45" i="2" s="1"/>
  <c r="C45" i="2"/>
  <c r="H45" i="2" s="1"/>
  <c r="D45" i="2"/>
  <c r="I45" i="2" s="1"/>
  <c r="E45" i="2"/>
  <c r="J45" i="2"/>
  <c r="K37" i="2" l="1"/>
  <c r="K38" i="2"/>
  <c r="K44" i="2"/>
  <c r="K36" i="2"/>
  <c r="K45" i="2"/>
  <c r="K43" i="2"/>
  <c r="K35" i="2"/>
  <c r="E28" i="2"/>
  <c r="E27" i="2"/>
  <c r="D28" i="2"/>
  <c r="D27" i="2"/>
  <c r="C27" i="2"/>
  <c r="B28" i="2"/>
  <c r="B27" i="2"/>
  <c r="E29" i="2"/>
  <c r="E30" i="2"/>
  <c r="E31" i="2"/>
  <c r="D29" i="2"/>
  <c r="D30" i="2"/>
  <c r="D31" i="2"/>
  <c r="C28" i="2"/>
  <c r="C29" i="2"/>
  <c r="C30" i="2"/>
  <c r="C31" i="2"/>
  <c r="B29" i="2"/>
  <c r="B31" i="2" l="1"/>
  <c r="B30" i="2"/>
  <c r="C33" i="1" l="1"/>
  <c r="B32" i="1"/>
  <c r="C28" i="1" s="1"/>
  <c r="B91" i="2"/>
  <c r="B90" i="2"/>
  <c r="B92" i="2" s="1"/>
  <c r="B81" i="2"/>
  <c r="B29" i="1"/>
  <c r="B30" i="1"/>
  <c r="B82" i="2" s="1"/>
  <c r="F21" i="2"/>
  <c r="G21" i="2"/>
  <c r="F20" i="2"/>
  <c r="G20" i="2"/>
  <c r="F19" i="2"/>
  <c r="G19" i="2"/>
  <c r="F18" i="2"/>
  <c r="G18" i="2"/>
  <c r="F17" i="2"/>
  <c r="G17" i="2"/>
  <c r="F16" i="2"/>
  <c r="G16" i="2"/>
  <c r="F15" i="2"/>
  <c r="G15" i="2"/>
  <c r="F14" i="2"/>
  <c r="G14" i="2"/>
  <c r="F13" i="2"/>
  <c r="G13" i="2"/>
  <c r="F12" i="2"/>
  <c r="G12" i="2"/>
  <c r="F11" i="2"/>
  <c r="G11" i="2"/>
  <c r="F10" i="2"/>
  <c r="G10" i="2"/>
  <c r="F9" i="2"/>
  <c r="G9" i="2"/>
  <c r="C34" i="1" l="1"/>
  <c r="C30" i="1"/>
  <c r="C31" i="1"/>
  <c r="C29" i="1"/>
  <c r="B84" i="2"/>
  <c r="C32" i="1"/>
  <c r="J3" i="1"/>
  <c r="J4" i="1"/>
  <c r="I3" i="1"/>
  <c r="I4" i="1"/>
  <c r="G3" i="1"/>
  <c r="G3" i="2" l="1"/>
  <c r="G4" i="2"/>
  <c r="G5" i="2"/>
  <c r="G6" i="2"/>
  <c r="G7" i="2"/>
  <c r="G8" i="2"/>
  <c r="G2" i="2"/>
  <c r="F3" i="2"/>
  <c r="F4" i="2"/>
  <c r="F5" i="2"/>
  <c r="F6" i="2"/>
  <c r="F7" i="2"/>
  <c r="F8" i="2"/>
  <c r="F2" i="2"/>
  <c r="F23" i="2"/>
  <c r="J6" i="1"/>
  <c r="J7" i="1"/>
  <c r="J8" i="1"/>
  <c r="J9" i="1"/>
  <c r="J5" i="1"/>
  <c r="G14" i="1"/>
  <c r="I9" i="1" s="1"/>
  <c r="G6" i="1"/>
  <c r="G7" i="1"/>
  <c r="G8" i="1"/>
  <c r="G9" i="1"/>
  <c r="G5" i="1"/>
  <c r="B20" i="1" s="1" a="1"/>
  <c r="C21" i="1" s="1"/>
  <c r="B26" i="2" l="1"/>
  <c r="D26" i="2"/>
  <c r="C26" i="2"/>
  <c r="E26" i="2"/>
  <c r="H2" i="2"/>
  <c r="C20" i="1"/>
  <c r="C24" i="1"/>
  <c r="B21" i="1"/>
  <c r="B79" i="2" s="1"/>
  <c r="B24" i="1"/>
  <c r="C22" i="1"/>
  <c r="B34" i="1" s="1"/>
  <c r="B86" i="2" s="1"/>
  <c r="B20" i="1"/>
  <c r="B22" i="1"/>
  <c r="B23" i="1"/>
  <c r="C23" i="1"/>
  <c r="H12" i="2"/>
  <c r="H16" i="2"/>
  <c r="H17" i="2"/>
  <c r="H20" i="2"/>
  <c r="H21" i="2"/>
  <c r="H14" i="2"/>
  <c r="H18" i="2"/>
  <c r="H15" i="2"/>
  <c r="H19" i="2"/>
  <c r="H9" i="2"/>
  <c r="H10" i="2"/>
  <c r="H11" i="2"/>
  <c r="H13" i="2"/>
  <c r="H8" i="2"/>
  <c r="I5" i="1"/>
  <c r="I8" i="1"/>
  <c r="I6" i="1"/>
  <c r="I7" i="1"/>
  <c r="H4" i="2"/>
  <c r="H6" i="2"/>
  <c r="H7" i="2"/>
  <c r="H3" i="2"/>
  <c r="H5" i="2"/>
  <c r="A79" i="2"/>
  <c r="A80" i="2"/>
  <c r="A81" i="2"/>
  <c r="A82" i="2"/>
  <c r="A83" i="2"/>
  <c r="A84" i="2"/>
  <c r="A85" i="2"/>
  <c r="A86" i="2"/>
  <c r="A88" i="2"/>
  <c r="D30" i="1"/>
  <c r="D31" i="1"/>
  <c r="D32" i="1"/>
  <c r="D28" i="1"/>
  <c r="D34" i="1"/>
  <c r="D33" i="1"/>
  <c r="I14" i="1"/>
  <c r="J14" i="1"/>
  <c r="G23" i="2"/>
  <c r="B46" i="1" l="1"/>
  <c r="K3" i="2"/>
  <c r="K11" i="2"/>
  <c r="K19" i="2"/>
  <c r="K6" i="2"/>
  <c r="K15" i="2"/>
  <c r="K18" i="2"/>
  <c r="K4" i="2"/>
  <c r="L4" i="2" s="1"/>
  <c r="K12" i="2"/>
  <c r="K20" i="2"/>
  <c r="L20" i="2" s="1"/>
  <c r="K5" i="2"/>
  <c r="K13" i="2"/>
  <c r="L13" i="2" s="1"/>
  <c r="K21" i="2"/>
  <c r="K14" i="2"/>
  <c r="K7" i="2"/>
  <c r="K16" i="2"/>
  <c r="B28" i="1"/>
  <c r="B80" i="2" s="1"/>
  <c r="B88" i="2" s="1"/>
  <c r="K17" i="2"/>
  <c r="K8" i="2"/>
  <c r="L8" i="2" s="1"/>
  <c r="K9" i="2"/>
  <c r="K2" i="2"/>
  <c r="L2" i="2" s="1"/>
  <c r="B2" i="3" s="1"/>
  <c r="K10" i="2"/>
  <c r="B45" i="1"/>
  <c r="B31" i="1"/>
  <c r="B83" i="2" s="1"/>
  <c r="C84" i="2" s="1"/>
  <c r="F84" i="2" s="1"/>
  <c r="L12" i="2"/>
  <c r="B27" i="1"/>
  <c r="C96" i="2" l="1"/>
  <c r="C92" i="2"/>
  <c r="I26" i="2"/>
  <c r="C86" i="2"/>
  <c r="G26" i="2"/>
  <c r="C91" i="2"/>
  <c r="C89" i="2"/>
  <c r="C93" i="2"/>
  <c r="F93" i="2" s="1"/>
  <c r="C87" i="2"/>
  <c r="F87" i="2" s="1"/>
  <c r="I28" i="2"/>
  <c r="J28" i="2"/>
  <c r="H28" i="2"/>
  <c r="G28" i="2"/>
  <c r="C81" i="2"/>
  <c r="F81" i="2" s="1"/>
  <c r="C98" i="2"/>
  <c r="F98" i="2" s="1"/>
  <c r="C80" i="2"/>
  <c r="F80" i="2" s="1"/>
  <c r="C82" i="2"/>
  <c r="L7" i="2"/>
  <c r="I31" i="2"/>
  <c r="H31" i="2"/>
  <c r="J31" i="2"/>
  <c r="G31" i="2"/>
  <c r="L18" i="2"/>
  <c r="B18" i="3" s="1"/>
  <c r="L10" i="2"/>
  <c r="B10" i="3" s="1"/>
  <c r="L15" i="2"/>
  <c r="L21" i="2"/>
  <c r="B21" i="3" s="1"/>
  <c r="L6" i="2"/>
  <c r="H30" i="2"/>
  <c r="J30" i="2"/>
  <c r="I30" i="2"/>
  <c r="G30" i="2"/>
  <c r="H26" i="2"/>
  <c r="H27" i="2"/>
  <c r="J27" i="2"/>
  <c r="G27" i="2"/>
  <c r="I27" i="2"/>
  <c r="L17" i="2"/>
  <c r="B17" i="3" s="1"/>
  <c r="C90" i="2"/>
  <c r="F90" i="2" s="1"/>
  <c r="C99" i="2"/>
  <c r="F99" i="2" s="1"/>
  <c r="L14" i="2"/>
  <c r="B14" i="3" s="1"/>
  <c r="C95" i="2"/>
  <c r="F95" i="2" s="1"/>
  <c r="C97" i="2"/>
  <c r="F97" i="2" s="1"/>
  <c r="L16" i="2"/>
  <c r="B16" i="3" s="1"/>
  <c r="C94" i="2"/>
  <c r="F94" i="2" s="1"/>
  <c r="C83" i="2"/>
  <c r="F83" i="2" s="1"/>
  <c r="L9" i="2"/>
  <c r="L19" i="2"/>
  <c r="L3" i="2"/>
  <c r="C88" i="2"/>
  <c r="C100" i="2"/>
  <c r="F100" i="2" s="1"/>
  <c r="C85" i="2"/>
  <c r="F85" i="2" s="1"/>
  <c r="L5" i="2"/>
  <c r="G29" i="2"/>
  <c r="J29" i="2"/>
  <c r="I29" i="2"/>
  <c r="H29" i="2"/>
  <c r="L11" i="2"/>
  <c r="B11" i="3" s="1"/>
  <c r="J26" i="2"/>
  <c r="B47" i="1"/>
  <c r="B48" i="1"/>
  <c r="B5" i="3"/>
  <c r="B13" i="3"/>
  <c r="B3" i="3"/>
  <c r="B20" i="3"/>
  <c r="B4" i="3"/>
  <c r="B8" i="3"/>
  <c r="B9" i="3"/>
  <c r="B12" i="3"/>
  <c r="B7" i="3"/>
  <c r="B19" i="3"/>
  <c r="B6" i="3"/>
  <c r="B15" i="3"/>
  <c r="F96" i="2"/>
  <c r="F91" i="2"/>
  <c r="F92" i="2"/>
  <c r="B36" i="1"/>
  <c r="F82" i="2"/>
  <c r="F86" i="2"/>
  <c r="F88" i="2"/>
  <c r="F89" i="2"/>
  <c r="K26" i="2" l="1"/>
  <c r="K30" i="2"/>
  <c r="K31" i="2"/>
  <c r="K28" i="2"/>
  <c r="K27" i="2"/>
  <c r="K29" i="2"/>
  <c r="D29" i="1"/>
  <c r="B33" i="1" s="1"/>
  <c r="B85" i="2" s="1"/>
  <c r="H96" i="2" l="1"/>
  <c r="H100" i="2"/>
  <c r="H98" i="2"/>
  <c r="H85" i="2"/>
  <c r="H88" i="2"/>
  <c r="H83" i="2"/>
  <c r="H93" i="2"/>
  <c r="H99" i="2"/>
  <c r="H82" i="2"/>
  <c r="H92" i="2"/>
  <c r="H90" i="2"/>
  <c r="H91" i="2"/>
  <c r="H89" i="2"/>
  <c r="H80" i="2"/>
  <c r="H84" i="2"/>
  <c r="H94" i="2"/>
  <c r="H97" i="2"/>
  <c r="H87" i="2"/>
  <c r="H95" i="2"/>
  <c r="H81" i="2"/>
  <c r="H86" i="2"/>
  <c r="K89" i="2" l="1"/>
  <c r="K91" i="2"/>
  <c r="K81" i="2"/>
  <c r="K88" i="2"/>
  <c r="K96" i="2"/>
  <c r="K100" i="2"/>
  <c r="K95" i="2" l="1"/>
  <c r="K84" i="2"/>
  <c r="K90" i="2"/>
  <c r="K92" i="2"/>
  <c r="K86" i="2"/>
  <c r="K98" i="2"/>
  <c r="K87" i="2"/>
  <c r="K97" i="2"/>
  <c r="K85" i="2"/>
  <c r="K82" i="2"/>
  <c r="K94" i="2"/>
  <c r="K93" i="2"/>
  <c r="K83" i="2"/>
  <c r="K99" i="2"/>
  <c r="K80" i="2"/>
</calcChain>
</file>

<file path=xl/sharedStrings.xml><?xml version="1.0" encoding="utf-8"?>
<sst xmlns="http://schemas.openxmlformats.org/spreadsheetml/2006/main" count="85" uniqueCount="78">
  <si>
    <t>Concentration (mg/mL)</t>
  </si>
  <si>
    <t>Absorbance</t>
  </si>
  <si>
    <t>SD</t>
  </si>
  <si>
    <t>mg GAE/ g SCG</t>
  </si>
  <si>
    <t>b</t>
  </si>
  <si>
    <t>1/m</t>
  </si>
  <si>
    <t>1/n</t>
  </si>
  <si>
    <t>mean y</t>
  </si>
  <si>
    <t>mean x</t>
  </si>
  <si>
    <t>(xi - mean x)^2</t>
  </si>
  <si>
    <t>standard error in regression, s yx</t>
  </si>
  <si>
    <t>standard error in slope sb</t>
  </si>
  <si>
    <t>sy,x / b</t>
  </si>
  <si>
    <t>yo - mean y</t>
  </si>
  <si>
    <t>(yo - mean y)^2</t>
  </si>
  <si>
    <t>Sstd</t>
  </si>
  <si>
    <t>n - 1</t>
  </si>
  <si>
    <t>Sstd^2*n-1</t>
  </si>
  <si>
    <t>Uconc analyte ±</t>
  </si>
  <si>
    <t>Error mg/mL</t>
  </si>
  <si>
    <t>SAMPLE</t>
  </si>
  <si>
    <t>ABSORBANCE</t>
  </si>
  <si>
    <t>MEAN ABSORBANCE</t>
  </si>
  <si>
    <t>MEAN- BLANK</t>
  </si>
  <si>
    <t>BLANK</t>
  </si>
  <si>
    <t>Blank</t>
  </si>
  <si>
    <t>Mean-blank</t>
  </si>
  <si>
    <t>Slope</t>
  </si>
  <si>
    <t>errpr</t>
  </si>
  <si>
    <t>R-Squared</t>
  </si>
  <si>
    <t>F stat</t>
  </si>
  <si>
    <t xml:space="preserve">Regression sum of squares </t>
  </si>
  <si>
    <t>sum( xi-mean x)^2</t>
  </si>
  <si>
    <t>n-1</t>
  </si>
  <si>
    <t>Intercept</t>
  </si>
  <si>
    <t>Error in intercept</t>
  </si>
  <si>
    <t>Standard deviation of y</t>
  </si>
  <si>
    <t xml:space="preserve">degrees of freedom </t>
  </si>
  <si>
    <t>residual sum of squares</t>
  </si>
  <si>
    <t>xi - mean x</t>
  </si>
  <si>
    <t>SCG (g)</t>
  </si>
  <si>
    <t>mg GAE/mL</t>
  </si>
  <si>
    <t>Average</t>
  </si>
  <si>
    <t>H2O (ml)</t>
  </si>
  <si>
    <t>5b</t>
  </si>
  <si>
    <t>SWE619</t>
  </si>
  <si>
    <t>t (4 dof) at 95 %</t>
  </si>
  <si>
    <t xml:space="preserve">STEYX </t>
  </si>
  <si>
    <t>SLOPE</t>
  </si>
  <si>
    <t>LOD</t>
  </si>
  <si>
    <t>LOQ</t>
  </si>
  <si>
    <t>mg GAE/ g SCG db</t>
  </si>
  <si>
    <t>mtab number 10/19</t>
  </si>
  <si>
    <t>Error mg GAE/ g SCG db</t>
  </si>
  <si>
    <t>sample</t>
  </si>
  <si>
    <t>average blank</t>
  </si>
  <si>
    <t>stdev</t>
  </si>
  <si>
    <t>Sample ID</t>
  </si>
  <si>
    <t>1_SWE619</t>
  </si>
  <si>
    <t>2_SWE619</t>
  </si>
  <si>
    <t>3_SWE619</t>
  </si>
  <si>
    <t>4_SWE619</t>
  </si>
  <si>
    <t>6_SWE619</t>
  </si>
  <si>
    <t>7_SWE619</t>
  </si>
  <si>
    <t>8_SWE619</t>
  </si>
  <si>
    <t>9_SWE619</t>
  </si>
  <si>
    <t>10_SWE619</t>
  </si>
  <si>
    <t>11_SWE619</t>
  </si>
  <si>
    <t>12_SWE619</t>
  </si>
  <si>
    <t>13_SWE619</t>
  </si>
  <si>
    <t>14_SWE619</t>
  </si>
  <si>
    <t>15_SWE619</t>
  </si>
  <si>
    <t>16_SWE619</t>
  </si>
  <si>
    <t>17_SWE619</t>
  </si>
  <si>
    <t>18_SWE619</t>
  </si>
  <si>
    <t>19_SWE619</t>
  </si>
  <si>
    <t>20_SWE619</t>
  </si>
  <si>
    <t>5b_SWE619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</si>
</sst>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2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0C7DBB"/>
      <name val="Arial"/>
      <family val="2"/>
    </font>
    <font>
      <u/>
      <sz val="12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7CE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4" borderId="0" applyNumberFormat="0" applyBorder="0" applyAlignment="0" applyProtection="0"/>
    <xf numFmtId="0" fontId="3" fillId="0" borderId="0" applyNumberFormat="0" applyFill="0" applyBorder="0" applyAlignment="0" applyProtection="0"/>
  </cellStyleXfs>
  <cellXfs count="16">
    <xf numFmtId="0" fontId="0" fillId="0" borderId="0" xfId="0"/>
    <xf numFmtId="0" fontId="0" fillId="2" borderId="0" xfId="0" applyFill="1"/>
    <xf numFmtId="0" fontId="0" fillId="0" borderId="0" xfId="0" applyAlignment="1">
      <alignment horizontal="center"/>
    </xf>
    <xf numFmtId="0" fontId="0" fillId="3" borderId="0" xfId="0" applyFill="1"/>
    <xf numFmtId="0" fontId="0" fillId="0" borderId="0" xfId="0" applyAlignment="1">
      <alignment horizontal="right"/>
    </xf>
    <xf numFmtId="0" fontId="1" fillId="4" borderId="0" xfId="1"/>
    <xf numFmtId="0" fontId="2" fillId="0" borderId="0" xfId="0" applyFont="1"/>
    <xf numFmtId="0" fontId="3" fillId="0" borderId="0" xfId="2"/>
    <xf numFmtId="2" fontId="0" fillId="0" borderId="0" xfId="0" applyNumberFormat="1"/>
    <xf numFmtId="0" fontId="0" fillId="0" borderId="0" xfId="0" applyAlignment="1">
      <alignment horizontal="center"/>
    </xf>
    <xf numFmtId="0" fontId="0" fillId="5" borderId="0" xfId="0" applyFill="1"/>
    <xf numFmtId="0" fontId="0" fillId="5" borderId="0" xfId="0" applyFill="1" applyAlignment="1">
      <alignment horizontal="center"/>
    </xf>
    <xf numFmtId="0" fontId="0" fillId="5" borderId="0" xfId="0" applyFill="1" applyAlignment="1">
      <alignment horizontal="center"/>
    </xf>
    <xf numFmtId="0" fontId="0" fillId="5" borderId="0" xfId="0" applyFont="1" applyFill="1"/>
    <xf numFmtId="0" fontId="1" fillId="5" borderId="0" xfId="1" applyFill="1"/>
    <xf numFmtId="2" fontId="0" fillId="5" borderId="0" xfId="0" applyNumberFormat="1" applyFill="1"/>
  </cellXfs>
  <cellStyles count="3">
    <cellStyle name="Bad" xfId="1" builtinId="27"/>
    <cellStyle name="Hyperlink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Gallic</a:t>
            </a:r>
            <a:r>
              <a:rPr lang="en-US" baseline="0"/>
              <a:t> Acid Folin- Ciocalteu Calibration Curve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'gallic acid calibration'!$A$2</c:f>
              <c:strCache>
                <c:ptCount val="1"/>
                <c:pt idx="0">
                  <c:v>Concentration (mg/mL)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intercept val="0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errBars>
            <c:errDir val="y"/>
            <c:errBarType val="both"/>
            <c:errValType val="cust"/>
            <c:noEndCap val="0"/>
            <c:plus>
              <c:numRef>
                <c:f>'gallic acid calibration'!$J$5:$J$9</c:f>
                <c:numCache>
                  <c:formatCode>General</c:formatCode>
                  <c:ptCount val="5"/>
                  <c:pt idx="0">
                    <c:v>7.1647284200682324E-3</c:v>
                  </c:pt>
                  <c:pt idx="1">
                    <c:v>7.6321687612368808E-3</c:v>
                  </c:pt>
                  <c:pt idx="2">
                    <c:v>1.5734781006843813E-2</c:v>
                  </c:pt>
                  <c:pt idx="3">
                    <c:v>8.4852813742385663E-3</c:v>
                  </c:pt>
                  <c:pt idx="4">
                    <c:v>2.3459184413217406E-2</c:v>
                  </c:pt>
                </c:numCache>
              </c:numRef>
            </c:plus>
            <c:minus>
              <c:numRef>
                <c:f>'gallic acid calibration'!$J$5:$J$9</c:f>
                <c:numCache>
                  <c:formatCode>General</c:formatCode>
                  <c:ptCount val="5"/>
                  <c:pt idx="0">
                    <c:v>7.1647284200682324E-3</c:v>
                  </c:pt>
                  <c:pt idx="1">
                    <c:v>7.6321687612368808E-3</c:v>
                  </c:pt>
                  <c:pt idx="2">
                    <c:v>1.5734781006843813E-2</c:v>
                  </c:pt>
                  <c:pt idx="3">
                    <c:v>8.4852813742385663E-3</c:v>
                  </c:pt>
                  <c:pt idx="4">
                    <c:v>2.3459184413217406E-2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'gallic acid calibration'!$A$3:$A$9</c:f>
              <c:numCache>
                <c:formatCode>General</c:formatCode>
                <c:ptCount val="7"/>
                <c:pt idx="0">
                  <c:v>2</c:v>
                </c:pt>
                <c:pt idx="1">
                  <c:v>1.5</c:v>
                </c:pt>
                <c:pt idx="2">
                  <c:v>1</c:v>
                </c:pt>
                <c:pt idx="3">
                  <c:v>0.75</c:v>
                </c:pt>
                <c:pt idx="4">
                  <c:v>0.5</c:v>
                </c:pt>
                <c:pt idx="5">
                  <c:v>0.25</c:v>
                </c:pt>
                <c:pt idx="6">
                  <c:v>0.1</c:v>
                </c:pt>
              </c:numCache>
            </c:numRef>
          </c:xVal>
          <c:yVal>
            <c:numRef>
              <c:f>'gallic acid calibration'!$I$3:$I$9</c:f>
              <c:numCache>
                <c:formatCode>General</c:formatCode>
                <c:ptCount val="7"/>
                <c:pt idx="0">
                  <c:v>0.8155</c:v>
                </c:pt>
                <c:pt idx="1">
                  <c:v>0.64349999999999996</c:v>
                </c:pt>
                <c:pt idx="2">
                  <c:v>0.49124999999999996</c:v>
                </c:pt>
                <c:pt idx="3">
                  <c:v>0.39074999999999999</c:v>
                </c:pt>
                <c:pt idx="4">
                  <c:v>0.17474999999999996</c:v>
                </c:pt>
                <c:pt idx="5">
                  <c:v>0.13724999999999998</c:v>
                </c:pt>
                <c:pt idx="6">
                  <c:v>7.7249999999999985E-2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0D0-2F46-8815-76E0BEDE27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3235615"/>
        <c:axId val="403194927"/>
      </c:scatterChart>
      <c:valAx>
        <c:axId val="40323561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Gallic Acid (mg/ mL)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3194927"/>
        <c:crosses val="autoZero"/>
        <c:crossBetween val="midCat"/>
      </c:valAx>
      <c:valAx>
        <c:axId val="403194927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Absorbance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323561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JMSWE619</a:t>
            </a:r>
            <a:r>
              <a:rPr lang="en-GB" baseline="0"/>
              <a:t> TPC 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39572155250504E-2"/>
          <c:y val="0.14209459459459461"/>
          <c:w val="0.93786042784474954"/>
          <c:h val="0.81645651557068877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sweccd!#REF!</c:f>
                <c:numCache>
                  <c:formatCode>General</c:formatCode>
                  <c:ptCount val="1"/>
                  <c:pt idx="0">
                    <c:v>1</c:v>
                  </c:pt>
                </c:numCache>
              </c:numRef>
            </c:plus>
            <c:minus>
              <c:numRef>
                <c:f>sweccd!#REF!</c:f>
                <c:numCache>
                  <c:formatCode>General</c:formatCode>
                  <c:ptCount val="1"/>
                  <c:pt idx="0">
                    <c:v>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sweccd!$A$2:$A$21</c:f>
              <c:strCache>
                <c:ptCount val="2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5b</c:v>
                </c:pt>
              </c:strCache>
            </c:strRef>
          </c:cat>
          <c:val>
            <c:numRef>
              <c:f>sweccd!$M$2:$M$21</c:f>
              <c:numCache>
                <c:formatCode>General</c:formatCode>
                <c:ptCount val="20"/>
                <c:pt idx="0">
                  <c:v>12.405895785140354</c:v>
                </c:pt>
                <c:pt idx="1">
                  <c:v>13.67565488060726</c:v>
                </c:pt>
                <c:pt idx="2">
                  <c:v>17.774054861366139</c:v>
                </c:pt>
                <c:pt idx="3">
                  <c:v>20.60864584576969</c:v>
                </c:pt>
                <c:pt idx="4">
                  <c:v>10.529948787596398</c:v>
                </c:pt>
                <c:pt idx="5">
                  <c:v>12.856464848450196</c:v>
                </c:pt>
                <c:pt idx="6">
                  <c:v>14.790861306871632</c:v>
                </c:pt>
                <c:pt idx="7">
                  <c:v>10.843814506299617</c:v>
                </c:pt>
                <c:pt idx="8">
                  <c:v>16.971859357752699</c:v>
                </c:pt>
                <c:pt idx="9">
                  <c:v>19.284354331452661</c:v>
                </c:pt>
                <c:pt idx="10">
                  <c:v>13.356402690074439</c:v>
                </c:pt>
                <c:pt idx="11">
                  <c:v>21.30850478019428</c:v>
                </c:pt>
                <c:pt idx="12">
                  <c:v>12.415283921222006</c:v>
                </c:pt>
                <c:pt idx="13">
                  <c:v>15.471642550972163</c:v>
                </c:pt>
                <c:pt idx="14">
                  <c:v>8.0912823094357691</c:v>
                </c:pt>
                <c:pt idx="15">
                  <c:v>7.5341164200010962</c:v>
                </c:pt>
                <c:pt idx="16">
                  <c:v>19.93822406457102</c:v>
                </c:pt>
                <c:pt idx="17">
                  <c:v>11.331349277642449</c:v>
                </c:pt>
                <c:pt idx="18">
                  <c:v>14.743093070037173</c:v>
                </c:pt>
                <c:pt idx="19">
                  <c:v>26.134708472950404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FA7-47D1-ADD3-589B70783D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20642776"/>
        <c:axId val="820633920"/>
      </c:barChart>
      <c:catAx>
        <c:axId val="8206427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Experiment</a:t>
                </a:r>
                <a:r>
                  <a:rPr lang="en-GB" baseline="0"/>
                  <a:t> number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0633920"/>
        <c:crosses val="autoZero"/>
        <c:auto val="1"/>
        <c:lblAlgn val="ctr"/>
        <c:lblOffset val="100"/>
        <c:noMultiLvlLbl val="0"/>
      </c:catAx>
      <c:valAx>
        <c:axId val="82063392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Total Phenolic content (mg GAE / g SCG)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0642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384175</xdr:colOff>
      <xdr:row>17</xdr:row>
      <xdr:rowOff>104775</xdr:rowOff>
    </xdr:from>
    <xdr:to>
      <xdr:col>19</xdr:col>
      <xdr:colOff>415925</xdr:colOff>
      <xdr:row>44</xdr:row>
      <xdr:rowOff>44450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1FFD80B-B32D-F54B-9A8A-61147615AF7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3055707</xdr:colOff>
      <xdr:row>52</xdr:row>
      <xdr:rowOff>156066</xdr:rowOff>
    </xdr:from>
    <xdr:to>
      <xdr:col>23</xdr:col>
      <xdr:colOff>673475</xdr:colOff>
      <xdr:row>80</xdr:row>
      <xdr:rowOff>106421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J48"/>
  <sheetViews>
    <sheetView topLeftCell="A16" zoomScale="77" zoomScaleNormal="77" workbookViewId="0">
      <selection activeCell="F19" sqref="F19"/>
    </sheetView>
  </sheetViews>
  <sheetFormatPr defaultColWidth="11" defaultRowHeight="15.6" x14ac:dyDescent="0.3"/>
  <cols>
    <col min="1" max="1" width="32.19921875" customWidth="1"/>
    <col min="2" max="2" width="16.5" customWidth="1"/>
    <col min="3" max="3" width="26.3984375" customWidth="1"/>
    <col min="4" max="6" width="23.3984375" customWidth="1"/>
    <col min="9" max="9" width="14" customWidth="1"/>
  </cols>
  <sheetData>
    <row r="2" spans="1:10" x14ac:dyDescent="0.3">
      <c r="A2" t="s">
        <v>0</v>
      </c>
      <c r="C2" s="9" t="s">
        <v>1</v>
      </c>
      <c r="D2" s="9"/>
      <c r="E2" s="2"/>
      <c r="F2" s="2"/>
      <c r="G2" t="s">
        <v>42</v>
      </c>
      <c r="I2" t="s">
        <v>26</v>
      </c>
      <c r="J2" t="s">
        <v>2</v>
      </c>
    </row>
    <row r="3" spans="1:10" x14ac:dyDescent="0.3">
      <c r="A3">
        <v>2</v>
      </c>
      <c r="C3">
        <v>0.76100000000000001</v>
      </c>
      <c r="D3">
        <v>0.87</v>
      </c>
      <c r="E3">
        <v>0.82799999999999996</v>
      </c>
      <c r="F3">
        <v>0.78600000000000003</v>
      </c>
      <c r="G3">
        <f>AVERAGE(C3:F3)</f>
        <v>0.81125000000000003</v>
      </c>
      <c r="I3">
        <f>AVERAGE(C3:D3)-G12</f>
        <v>0.8155</v>
      </c>
      <c r="J3">
        <f t="shared" ref="J3:J9" si="0">STDEV(C3:F3)</f>
        <v>4.7940066750057811E-2</v>
      </c>
    </row>
    <row r="4" spans="1:10" x14ac:dyDescent="0.3">
      <c r="A4">
        <v>1.5</v>
      </c>
      <c r="C4">
        <v>0.63800000000000001</v>
      </c>
      <c r="D4">
        <v>0.64900000000000002</v>
      </c>
      <c r="E4">
        <v>0.64900000000000002</v>
      </c>
      <c r="F4">
        <v>0.65700000000000003</v>
      </c>
      <c r="G4">
        <v>0.71799999999999997</v>
      </c>
      <c r="I4">
        <f>AVERAGE(C4:D4)-G13</f>
        <v>0.64349999999999996</v>
      </c>
      <c r="J4">
        <f t="shared" si="0"/>
        <v>7.8049129826454041E-3</v>
      </c>
    </row>
    <row r="5" spans="1:10" x14ac:dyDescent="0.3">
      <c r="A5">
        <v>1</v>
      </c>
      <c r="C5">
        <v>0.59099999999999997</v>
      </c>
      <c r="D5">
        <v>0.59499999999999997</v>
      </c>
      <c r="E5">
        <v>0.58199999999999996</v>
      </c>
      <c r="F5">
        <v>0.57999999999999996</v>
      </c>
      <c r="G5">
        <f>AVERAGE(C5:F5)</f>
        <v>0.58699999999999997</v>
      </c>
      <c r="I5">
        <f>AVERAGE(C5:D5)-G14</f>
        <v>0.49124999999999996</v>
      </c>
      <c r="J5">
        <f t="shared" si="0"/>
        <v>7.1647284200682324E-3</v>
      </c>
    </row>
    <row r="6" spans="1:10" x14ac:dyDescent="0.3">
      <c r="A6">
        <v>0.75</v>
      </c>
      <c r="C6">
        <v>0.495</v>
      </c>
      <c r="D6">
        <v>0.49</v>
      </c>
      <c r="E6">
        <v>0.50800000000000001</v>
      </c>
      <c r="F6">
        <v>0.496</v>
      </c>
      <c r="G6">
        <f>AVERAGE(C6:F6)</f>
        <v>0.49724999999999997</v>
      </c>
      <c r="I6">
        <f>AVERAGE(C6:D6)-G14</f>
        <v>0.39074999999999999</v>
      </c>
      <c r="J6">
        <f t="shared" si="0"/>
        <v>7.6321687612368808E-3</v>
      </c>
    </row>
    <row r="7" spans="1:10" x14ac:dyDescent="0.3">
      <c r="A7">
        <v>0.5</v>
      </c>
      <c r="C7">
        <v>0.28699999999999998</v>
      </c>
      <c r="D7">
        <v>0.26600000000000001</v>
      </c>
      <c r="E7">
        <v>0.27</v>
      </c>
      <c r="F7">
        <v>0.3</v>
      </c>
      <c r="G7">
        <f>AVERAGE(C7:F7)</f>
        <v>0.28075</v>
      </c>
      <c r="I7">
        <f>AVERAGE(C7:D7)-G14</f>
        <v>0.17474999999999996</v>
      </c>
      <c r="J7">
        <f t="shared" si="0"/>
        <v>1.5734781006843813E-2</v>
      </c>
    </row>
    <row r="8" spans="1:10" x14ac:dyDescent="0.3">
      <c r="A8">
        <v>0.25</v>
      </c>
      <c r="C8">
        <v>0.246</v>
      </c>
      <c r="D8">
        <v>0.23200000000000001</v>
      </c>
      <c r="E8">
        <v>0.246</v>
      </c>
      <c r="F8">
        <v>0.252</v>
      </c>
      <c r="G8">
        <f>AVERAGE(C8:F8)</f>
        <v>0.24399999999999999</v>
      </c>
      <c r="I8">
        <f>AVERAGE(C8:D8)-G14</f>
        <v>0.13724999999999998</v>
      </c>
      <c r="J8">
        <f t="shared" si="0"/>
        <v>8.4852813742385663E-3</v>
      </c>
    </row>
    <row r="9" spans="1:10" x14ac:dyDescent="0.3">
      <c r="A9">
        <v>0.1</v>
      </c>
      <c r="C9">
        <v>0.158</v>
      </c>
      <c r="D9">
        <v>0.2</v>
      </c>
      <c r="E9">
        <v>0.15</v>
      </c>
      <c r="F9">
        <v>0.186</v>
      </c>
      <c r="G9">
        <f>AVERAGE(C9:F9)</f>
        <v>0.17349999999999999</v>
      </c>
      <c r="I9">
        <f>AVERAGE(C9:D9)-G14</f>
        <v>7.7249999999999985E-2</v>
      </c>
      <c r="J9">
        <f t="shared" si="0"/>
        <v>2.3459184413217406E-2</v>
      </c>
    </row>
    <row r="14" spans="1:10" x14ac:dyDescent="0.3">
      <c r="A14" t="s">
        <v>25</v>
      </c>
      <c r="C14">
        <v>9.1999999999999998E-2</v>
      </c>
      <c r="D14">
        <v>9.6000000000000002E-2</v>
      </c>
      <c r="E14">
        <v>9.0999999999999998E-2</v>
      </c>
      <c r="F14">
        <v>0.128</v>
      </c>
      <c r="G14">
        <f>AVERAGE(C14:F14)</f>
        <v>0.10175000000000001</v>
      </c>
      <c r="I14">
        <f>AVERAGE(C14:D14)</f>
        <v>9.4E-2</v>
      </c>
      <c r="J14">
        <f>STDEV(C14:D14)</f>
        <v>2.8284271247461927E-3</v>
      </c>
    </row>
    <row r="20" spans="1:4" x14ac:dyDescent="0.3">
      <c r="A20" s="3" t="s">
        <v>27</v>
      </c>
      <c r="B20">
        <f t="array" ref="B20:C24">LINEST(G3:G9,A3:A9,FALSE,TRUE)</f>
        <v>0.47672556853103859</v>
      </c>
      <c r="C20">
        <v>0</v>
      </c>
      <c r="D20" s="3" t="s">
        <v>34</v>
      </c>
    </row>
    <row r="21" spans="1:4" x14ac:dyDescent="0.3">
      <c r="A21" s="3" t="s">
        <v>28</v>
      </c>
      <c r="B21">
        <v>4.175928198955596E-2</v>
      </c>
      <c r="C21" t="e">
        <v>#N/A</v>
      </c>
      <c r="D21" s="3" t="s">
        <v>35</v>
      </c>
    </row>
    <row r="22" spans="1:4" x14ac:dyDescent="0.3">
      <c r="A22" s="3" t="s">
        <v>29</v>
      </c>
      <c r="B22">
        <v>0.95598783125061737</v>
      </c>
      <c r="C22">
        <v>0.11910549583719578</v>
      </c>
      <c r="D22" s="3" t="s">
        <v>36</v>
      </c>
    </row>
    <row r="23" spans="1:4" x14ac:dyDescent="0.3">
      <c r="A23" s="3" t="s">
        <v>30</v>
      </c>
      <c r="B23">
        <v>130.32593372450336</v>
      </c>
      <c r="C23">
        <v>6</v>
      </c>
      <c r="D23" s="3" t="s">
        <v>37</v>
      </c>
    </row>
    <row r="24" spans="1:4" x14ac:dyDescent="0.3">
      <c r="A24" s="3" t="s">
        <v>31</v>
      </c>
      <c r="B24">
        <v>1.8488192226682543</v>
      </c>
      <c r="C24">
        <v>8.5116714831745571E-2</v>
      </c>
      <c r="D24" s="3" t="s">
        <v>38</v>
      </c>
    </row>
    <row r="27" spans="1:4" x14ac:dyDescent="0.3">
      <c r="A27" t="s">
        <v>11</v>
      </c>
      <c r="B27">
        <f>B20</f>
        <v>0.47672556853103859</v>
      </c>
      <c r="C27" t="s">
        <v>39</v>
      </c>
      <c r="D27" t="s">
        <v>9</v>
      </c>
    </row>
    <row r="28" spans="1:4" x14ac:dyDescent="0.3">
      <c r="A28" t="s">
        <v>4</v>
      </c>
      <c r="B28">
        <f>B20</f>
        <v>0.47672556853103859</v>
      </c>
      <c r="C28">
        <f>A3-B32</f>
        <v>1.1285714285714286</v>
      </c>
      <c r="D28">
        <f>C28^2</f>
        <v>1.2736734693877552</v>
      </c>
    </row>
    <row r="29" spans="1:4" x14ac:dyDescent="0.3">
      <c r="A29" t="s">
        <v>5</v>
      </c>
      <c r="B29">
        <f>1/4</f>
        <v>0.25</v>
      </c>
      <c r="C29">
        <f>A4-B32</f>
        <v>0.62857142857142867</v>
      </c>
      <c r="D29">
        <f t="shared" ref="D29:D34" si="1">C29^2</f>
        <v>0.39510204081632666</v>
      </c>
    </row>
    <row r="30" spans="1:4" x14ac:dyDescent="0.3">
      <c r="A30" t="s">
        <v>6</v>
      </c>
      <c r="B30">
        <f>1/7</f>
        <v>0.14285714285714285</v>
      </c>
      <c r="C30">
        <f>A5-B32</f>
        <v>0.12857142857142867</v>
      </c>
      <c r="D30">
        <f t="shared" si="1"/>
        <v>1.6530612244897984E-2</v>
      </c>
    </row>
    <row r="31" spans="1:4" x14ac:dyDescent="0.3">
      <c r="A31" t="s">
        <v>7</v>
      </c>
      <c r="B31">
        <f>AVERAGE(I3:I9)</f>
        <v>0.39003571428571426</v>
      </c>
      <c r="C31">
        <f>A6-B32</f>
        <v>-0.12142857142857133</v>
      </c>
      <c r="D31">
        <f t="shared" si="1"/>
        <v>1.4744897959183649E-2</v>
      </c>
    </row>
    <row r="32" spans="1:4" x14ac:dyDescent="0.3">
      <c r="A32" t="s">
        <v>8</v>
      </c>
      <c r="B32">
        <f>AVERAGE(A3:A9)</f>
        <v>0.87142857142857133</v>
      </c>
      <c r="C32">
        <f>A7-B32</f>
        <v>-0.37142857142857133</v>
      </c>
      <c r="D32">
        <f t="shared" si="1"/>
        <v>0.13795918367346932</v>
      </c>
    </row>
    <row r="33" spans="1:4" x14ac:dyDescent="0.3">
      <c r="A33" t="s">
        <v>32</v>
      </c>
      <c r="B33">
        <f>SUM(D28:D34)</f>
        <v>2.8192857142857144</v>
      </c>
      <c r="C33">
        <f>A8-B32</f>
        <v>-0.62142857142857133</v>
      </c>
      <c r="D33">
        <f t="shared" si="1"/>
        <v>0.38617346938775499</v>
      </c>
    </row>
    <row r="34" spans="1:4" x14ac:dyDescent="0.3">
      <c r="A34" t="s">
        <v>10</v>
      </c>
      <c r="B34">
        <f>C22</f>
        <v>0.11910549583719578</v>
      </c>
      <c r="C34">
        <f>A9-B32</f>
        <v>-0.77142857142857135</v>
      </c>
      <c r="D34">
        <f t="shared" si="1"/>
        <v>0.59510204081632645</v>
      </c>
    </row>
    <row r="36" spans="1:4" x14ac:dyDescent="0.3">
      <c r="A36" t="s">
        <v>12</v>
      </c>
      <c r="B36">
        <f>B27/B28</f>
        <v>1</v>
      </c>
    </row>
    <row r="37" spans="1:4" x14ac:dyDescent="0.3">
      <c r="A37" t="s">
        <v>15</v>
      </c>
    </row>
    <row r="38" spans="1:4" x14ac:dyDescent="0.3">
      <c r="A38" t="s">
        <v>33</v>
      </c>
    </row>
    <row r="39" spans="1:4" x14ac:dyDescent="0.3">
      <c r="A39" t="s">
        <v>17</v>
      </c>
    </row>
    <row r="45" spans="1:4" x14ac:dyDescent="0.3">
      <c r="A45" t="s">
        <v>47</v>
      </c>
      <c r="B45">
        <f>STEYX(I3:I9,A3:A9)</f>
        <v>4.4875426267565882E-2</v>
      </c>
    </row>
    <row r="46" spans="1:4" x14ac:dyDescent="0.3">
      <c r="A46" t="s">
        <v>48</v>
      </c>
      <c r="B46">
        <f>B20</f>
        <v>0.47672556853103859</v>
      </c>
    </row>
    <row r="47" spans="1:4" x14ac:dyDescent="0.3">
      <c r="A47" t="s">
        <v>49</v>
      </c>
      <c r="B47">
        <f>(B45/B46)*3.3</f>
        <v>0.31063764240563413</v>
      </c>
    </row>
    <row r="48" spans="1:4" x14ac:dyDescent="0.3">
      <c r="A48" s="5" t="s">
        <v>50</v>
      </c>
      <c r="B48" s="5">
        <f>10*(B45/B46)</f>
        <v>0.94132618910798227</v>
      </c>
    </row>
  </sheetData>
  <mergeCells count="1">
    <mergeCell ref="C2:D2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100"/>
  <sheetViews>
    <sheetView tabSelected="1" topLeftCell="H1" zoomScale="33" zoomScaleNormal="33" workbookViewId="0">
      <selection activeCell="M2" sqref="M2"/>
    </sheetView>
  </sheetViews>
  <sheetFormatPr defaultColWidth="11" defaultRowHeight="15.6" x14ac:dyDescent="0.3"/>
  <cols>
    <col min="1" max="1" width="33" customWidth="1"/>
    <col min="2" max="2" width="12.09765625" bestFit="1" customWidth="1"/>
    <col min="3" max="3" width="16.5" customWidth="1"/>
    <col min="6" max="6" width="17.8984375" bestFit="1" customWidth="1"/>
    <col min="7" max="7" width="26.8984375" bestFit="1" customWidth="1"/>
    <col min="8" max="8" width="16.5" customWidth="1"/>
    <col min="9" max="9" width="18.59765625" bestFit="1" customWidth="1"/>
    <col min="10" max="10" width="19.8984375" customWidth="1"/>
    <col min="11" max="11" width="14.09765625" bestFit="1" customWidth="1"/>
    <col min="12" max="12" width="102.19921875" customWidth="1"/>
    <col min="13" max="13" width="55" customWidth="1"/>
    <col min="14" max="14" width="16" bestFit="1" customWidth="1"/>
    <col min="15" max="15" width="19" bestFit="1" customWidth="1"/>
  </cols>
  <sheetData>
    <row r="1" spans="1:16" x14ac:dyDescent="0.3">
      <c r="A1" s="10" t="s">
        <v>20</v>
      </c>
      <c r="B1" s="11" t="s">
        <v>21</v>
      </c>
      <c r="C1" s="11"/>
      <c r="D1" s="12"/>
      <c r="E1" s="12"/>
      <c r="F1" s="10" t="s">
        <v>22</v>
      </c>
      <c r="G1" s="10" t="s">
        <v>2</v>
      </c>
      <c r="H1" s="10" t="s">
        <v>23</v>
      </c>
      <c r="I1" s="13" t="s">
        <v>43</v>
      </c>
      <c r="J1" s="13" t="s">
        <v>40</v>
      </c>
      <c r="K1" s="13" t="s">
        <v>27</v>
      </c>
      <c r="L1" s="13" t="s">
        <v>41</v>
      </c>
      <c r="M1" s="10" t="s">
        <v>51</v>
      </c>
      <c r="N1" s="10" t="s">
        <v>52</v>
      </c>
      <c r="O1" s="10"/>
      <c r="P1" s="10"/>
    </row>
    <row r="2" spans="1:16" x14ac:dyDescent="0.3">
      <c r="A2" s="14">
        <v>1</v>
      </c>
      <c r="B2" s="10">
        <v>0.308</v>
      </c>
      <c r="C2" s="10">
        <v>0.317</v>
      </c>
      <c r="D2" s="10">
        <v>0.32300000000000001</v>
      </c>
      <c r="E2" s="10">
        <v>0.33100000000000002</v>
      </c>
      <c r="F2" s="10">
        <f>AVERAGE(B2:E2)</f>
        <v>0.31974999999999998</v>
      </c>
      <c r="G2" s="10">
        <f>STDEV(B2:E2)</f>
        <v>9.7082439194738097E-3</v>
      </c>
      <c r="H2" s="10">
        <f>F2-F23</f>
        <v>0.21799999999999997</v>
      </c>
      <c r="I2" s="13">
        <v>127.379</v>
      </c>
      <c r="J2" s="13">
        <v>5.0369999999999999</v>
      </c>
      <c r="K2" s="10">
        <f>'gallic acid calibration'!$B$20</f>
        <v>0.47672556853103859</v>
      </c>
      <c r="L2" s="14">
        <f>H2/K2</f>
        <v>0.45728615033537151</v>
      </c>
      <c r="M2" s="10">
        <v>12.405895785140354</v>
      </c>
      <c r="N2" s="10">
        <v>17</v>
      </c>
      <c r="O2" s="10"/>
      <c r="P2" s="10"/>
    </row>
    <row r="3" spans="1:16" x14ac:dyDescent="0.3">
      <c r="A3" s="10">
        <v>2</v>
      </c>
      <c r="B3" s="10">
        <v>0.67800000000000005</v>
      </c>
      <c r="C3" s="10">
        <v>0.72899999999999998</v>
      </c>
      <c r="D3" s="10">
        <v>0.69499999999999995</v>
      </c>
      <c r="E3" s="10">
        <v>0.73499999999999999</v>
      </c>
      <c r="F3" s="10">
        <f t="shared" ref="F3:F21" si="0">AVERAGE(B3:E3)</f>
        <v>0.70924999999999994</v>
      </c>
      <c r="G3" s="10">
        <f t="shared" ref="G3:G21" si="1">STDEV(B3:E3)</f>
        <v>2.728094573140746E-2</v>
      </c>
      <c r="H3" s="10">
        <f>F3-F23</f>
        <v>0.60749999999999993</v>
      </c>
      <c r="I3" s="13">
        <v>50.088000000000001</v>
      </c>
      <c r="J3" s="13">
        <v>5.0069999999999997</v>
      </c>
      <c r="K3" s="10">
        <f>'gallic acid calibration'!$B$20</f>
        <v>0.47672556853103859</v>
      </c>
      <c r="L3" s="10">
        <f t="shared" ref="L3:L21" si="2">H3/K3</f>
        <v>1.274318056553845</v>
      </c>
      <c r="M3" s="10">
        <v>13.67565488060726</v>
      </c>
      <c r="N3" s="10">
        <v>8</v>
      </c>
      <c r="O3" s="10"/>
      <c r="P3" s="10"/>
    </row>
    <row r="4" spans="1:16" x14ac:dyDescent="0.3">
      <c r="A4" s="10">
        <v>3</v>
      </c>
      <c r="B4" s="10">
        <v>0.50600000000000001</v>
      </c>
      <c r="C4" s="10">
        <v>0.495</v>
      </c>
      <c r="D4" s="10">
        <v>0.63</v>
      </c>
      <c r="E4" s="10">
        <v>0.59899999999999998</v>
      </c>
      <c r="F4" s="10">
        <f t="shared" si="0"/>
        <v>0.55749999999999988</v>
      </c>
      <c r="G4" s="10">
        <f t="shared" si="1"/>
        <v>6.7173903663055423E-2</v>
      </c>
      <c r="H4" s="10">
        <f>F4-F23</f>
        <v>0.45574999999999988</v>
      </c>
      <c r="I4" s="10">
        <v>87.277000000000001</v>
      </c>
      <c r="J4" s="13">
        <v>5.0359999999999996</v>
      </c>
      <c r="K4" s="10">
        <f>'gallic acid calibration'!$B$20</f>
        <v>0.47672556853103859</v>
      </c>
      <c r="L4" s="10">
        <f t="shared" si="2"/>
        <v>0.95600074777681443</v>
      </c>
      <c r="M4" s="10">
        <v>17.774054861366139</v>
      </c>
      <c r="N4" s="10">
        <v>2</v>
      </c>
      <c r="O4" s="10"/>
      <c r="P4" s="10"/>
    </row>
    <row r="5" spans="1:16" x14ac:dyDescent="0.3">
      <c r="A5" s="10">
        <v>4</v>
      </c>
      <c r="B5" s="10">
        <v>0.64500000000000002</v>
      </c>
      <c r="C5" s="10">
        <v>0.63900000000000001</v>
      </c>
      <c r="D5" s="10">
        <v>0.64900000000000002</v>
      </c>
      <c r="E5" s="10">
        <v>0.57299999999999995</v>
      </c>
      <c r="F5" s="10">
        <f>AVERAGE(B5:E5)</f>
        <v>0.62650000000000006</v>
      </c>
      <c r="G5" s="10">
        <f>STDEV(B5:E5)</f>
        <v>3.5902646142032514E-2</v>
      </c>
      <c r="H5" s="10">
        <f>F5-F23</f>
        <v>0.52475000000000005</v>
      </c>
      <c r="I5" s="10">
        <v>87.522999999999996</v>
      </c>
      <c r="J5" s="13">
        <v>5.0149999999999997</v>
      </c>
      <c r="K5" s="10">
        <f>'gallic acid calibration'!$B$20</f>
        <v>0.47672556853103859</v>
      </c>
      <c r="L5" s="10">
        <f>H5/K5</f>
        <v>1.1007381072866342</v>
      </c>
      <c r="M5" s="10">
        <v>20.60864584576969</v>
      </c>
      <c r="N5" s="10">
        <v>4</v>
      </c>
      <c r="O5" s="10"/>
      <c r="P5" s="10"/>
    </row>
    <row r="6" spans="1:16" x14ac:dyDescent="0.3">
      <c r="A6" s="10">
        <v>6</v>
      </c>
      <c r="B6" s="10">
        <v>0.61</v>
      </c>
      <c r="C6" s="10">
        <v>0.60299999999999998</v>
      </c>
      <c r="D6" s="10">
        <v>0.54600000000000004</v>
      </c>
      <c r="E6" s="10">
        <v>0.53500000000000003</v>
      </c>
      <c r="F6" s="10">
        <f t="shared" si="0"/>
        <v>0.57350000000000001</v>
      </c>
      <c r="G6" s="10">
        <f t="shared" si="1"/>
        <v>3.8475100173142256E-2</v>
      </c>
      <c r="H6" s="10">
        <f>F6-F23</f>
        <v>0.47175</v>
      </c>
      <c r="I6" s="10">
        <v>49.604999999999997</v>
      </c>
      <c r="J6" s="13">
        <v>5.0010000000000003</v>
      </c>
      <c r="K6" s="10">
        <f>'gallic acid calibration'!$B$20</f>
        <v>0.47672556853103859</v>
      </c>
      <c r="L6" s="10">
        <f t="shared" si="2"/>
        <v>0.98956303403996126</v>
      </c>
      <c r="M6" s="10">
        <v>10.529948787596398</v>
      </c>
      <c r="N6" s="10">
        <v>18</v>
      </c>
      <c r="O6" s="10"/>
      <c r="P6" s="10"/>
    </row>
    <row r="7" spans="1:16" x14ac:dyDescent="0.3">
      <c r="A7" s="10">
        <v>7</v>
      </c>
      <c r="B7" s="10">
        <v>0.69499999999999995</v>
      </c>
      <c r="C7" s="10">
        <v>0.66700000000000004</v>
      </c>
      <c r="D7" s="10">
        <v>0.66700000000000004</v>
      </c>
      <c r="E7" s="10">
        <v>0.66700000000000004</v>
      </c>
      <c r="F7" s="10">
        <f t="shared" si="0"/>
        <v>0.67399999999999993</v>
      </c>
      <c r="G7" s="10">
        <f t="shared" si="1"/>
        <v>1.3999999999999957E-2</v>
      </c>
      <c r="H7" s="10">
        <f>F7-F23</f>
        <v>0.57224999999999993</v>
      </c>
      <c r="I7" s="10">
        <v>50.118000000000002</v>
      </c>
      <c r="J7" s="13">
        <v>5.0199999999999996</v>
      </c>
      <c r="K7" s="10">
        <f>'gallic acid calibration'!$B$20</f>
        <v>0.47672556853103859</v>
      </c>
      <c r="L7" s="10">
        <f t="shared" si="2"/>
        <v>1.2003761446303503</v>
      </c>
      <c r="M7" s="10">
        <v>12.856464848450196</v>
      </c>
      <c r="N7" s="10">
        <v>14</v>
      </c>
      <c r="O7" s="10"/>
      <c r="P7" s="10"/>
    </row>
    <row r="8" spans="1:16" x14ac:dyDescent="0.3">
      <c r="A8" s="14">
        <v>8</v>
      </c>
      <c r="B8" s="10">
        <v>0.40799999999999997</v>
      </c>
      <c r="C8" s="10">
        <v>0.38700000000000001</v>
      </c>
      <c r="D8" s="10">
        <v>0.33300000000000002</v>
      </c>
      <c r="E8" s="10">
        <v>0.33800000000000002</v>
      </c>
      <c r="F8" s="10">
        <f t="shared" si="0"/>
        <v>0.36649999999999999</v>
      </c>
      <c r="G8" s="10">
        <f t="shared" si="1"/>
        <v>3.6864617182333505E-2</v>
      </c>
      <c r="H8" s="10">
        <f>F8-F23</f>
        <v>0.26474999999999999</v>
      </c>
      <c r="I8" s="13">
        <v>125.05</v>
      </c>
      <c r="J8" s="13">
        <v>5.0369999999999999</v>
      </c>
      <c r="K8" s="10">
        <f>'gallic acid calibration'!$B$20</f>
        <v>0.47672556853103859</v>
      </c>
      <c r="L8" s="14">
        <f t="shared" si="2"/>
        <v>0.55535095551050284</v>
      </c>
      <c r="M8" s="10">
        <v>14.790861306871632</v>
      </c>
      <c r="N8" s="10">
        <v>1</v>
      </c>
      <c r="O8" s="10"/>
      <c r="P8" s="10"/>
    </row>
    <row r="9" spans="1:16" x14ac:dyDescent="0.3">
      <c r="A9" s="10">
        <v>9</v>
      </c>
      <c r="B9" s="10">
        <v>0.58599999999999997</v>
      </c>
      <c r="C9" s="10">
        <v>0.624</v>
      </c>
      <c r="D9" s="10">
        <v>0.58599999999999997</v>
      </c>
      <c r="E9" s="10">
        <v>0.53500000000000003</v>
      </c>
      <c r="F9" s="10">
        <f t="shared" si="0"/>
        <v>0.58274999999999999</v>
      </c>
      <c r="G9" s="10">
        <f t="shared" si="1"/>
        <v>3.6527386985657745E-2</v>
      </c>
      <c r="H9" s="10">
        <f>F9-F23</f>
        <v>0.48099999999999998</v>
      </c>
      <c r="I9" s="13">
        <v>50.542000000000002</v>
      </c>
      <c r="J9" s="10">
        <v>5.0449999999999999</v>
      </c>
      <c r="K9" s="10">
        <f>'gallic acid calibration'!$B$20</f>
        <v>0.47672556853103859</v>
      </c>
      <c r="L9" s="10">
        <f t="shared" si="2"/>
        <v>1.0089662307858427</v>
      </c>
      <c r="M9" s="10">
        <v>10.843814506299617</v>
      </c>
      <c r="N9" s="10">
        <v>11</v>
      </c>
      <c r="O9" s="10"/>
      <c r="P9" s="10"/>
    </row>
    <row r="10" spans="1:16" x14ac:dyDescent="0.3">
      <c r="A10" s="14">
        <v>10</v>
      </c>
      <c r="B10" s="10">
        <v>0.48499999999999999</v>
      </c>
      <c r="C10" s="10">
        <v>0.48099999999999998</v>
      </c>
      <c r="D10" s="10">
        <v>0.56699999999999995</v>
      </c>
      <c r="E10" s="10">
        <v>0.59299999999999997</v>
      </c>
      <c r="F10" s="10">
        <f t="shared" si="0"/>
        <v>0.53149999999999997</v>
      </c>
      <c r="G10" s="10">
        <f t="shared" si="1"/>
        <v>5.7023387015036779E-2</v>
      </c>
      <c r="H10" s="10">
        <f>F10-F23</f>
        <v>0.42974999999999997</v>
      </c>
      <c r="I10" s="13">
        <v>88.415000000000006</v>
      </c>
      <c r="J10" s="13">
        <v>5.0380000000000003</v>
      </c>
      <c r="K10" s="10">
        <f>'gallic acid calibration'!$B$20</f>
        <v>0.47672556853103859</v>
      </c>
      <c r="L10" s="14">
        <f t="shared" si="2"/>
        <v>0.90146203259920143</v>
      </c>
      <c r="M10" s="10">
        <v>16.971859357752699</v>
      </c>
      <c r="N10" s="10">
        <v>13</v>
      </c>
      <c r="O10" s="10"/>
      <c r="P10" s="10"/>
    </row>
    <row r="11" spans="1:16" x14ac:dyDescent="0.3">
      <c r="A11" s="14">
        <v>11</v>
      </c>
      <c r="B11" s="10">
        <v>0.42099999999999999</v>
      </c>
      <c r="C11" s="10">
        <v>0.42499999999999999</v>
      </c>
      <c r="D11" s="10">
        <v>0.438</v>
      </c>
      <c r="E11" s="10">
        <v>0.48299999999999998</v>
      </c>
      <c r="F11" s="10">
        <f t="shared" si="0"/>
        <v>0.44174999999999998</v>
      </c>
      <c r="G11" s="10">
        <f t="shared" si="1"/>
        <v>2.8441460346941869E-2</v>
      </c>
      <c r="H11" s="10">
        <f>F11-F23</f>
        <v>0.33999999999999997</v>
      </c>
      <c r="I11" s="13">
        <v>126.12400000000001</v>
      </c>
      <c r="J11" s="13">
        <v>5.0039999999999996</v>
      </c>
      <c r="K11" s="10">
        <f>'gallic acid calibration'!$B$20</f>
        <v>0.47672556853103859</v>
      </c>
      <c r="L11" s="14">
        <f t="shared" si="2"/>
        <v>0.7131985830918639</v>
      </c>
      <c r="M11" s="10">
        <v>19.284354331452661</v>
      </c>
      <c r="N11" s="10">
        <v>12</v>
      </c>
      <c r="O11" s="10"/>
      <c r="P11" s="10"/>
    </row>
    <row r="12" spans="1:16" x14ac:dyDescent="0.3">
      <c r="A12" s="14">
        <v>12</v>
      </c>
      <c r="B12" s="10">
        <v>0.44800000000000001</v>
      </c>
      <c r="C12" s="10">
        <v>0.41799999999999998</v>
      </c>
      <c r="D12" s="10">
        <v>0.44</v>
      </c>
      <c r="E12" s="10">
        <v>0.45100000000000001</v>
      </c>
      <c r="F12" s="10">
        <f t="shared" si="0"/>
        <v>0.43925000000000003</v>
      </c>
      <c r="G12" s="10">
        <f t="shared" si="1"/>
        <v>1.4908051515875587E-2</v>
      </c>
      <c r="H12" s="10">
        <f>F12-F23</f>
        <v>0.33750000000000002</v>
      </c>
      <c r="I12" s="13">
        <v>88.423000000000002</v>
      </c>
      <c r="J12" s="13">
        <v>5.0279999999999996</v>
      </c>
      <c r="K12" s="10">
        <f>'gallic acid calibration'!$B$20</f>
        <v>0.47672556853103859</v>
      </c>
      <c r="L12" s="14">
        <f t="shared" si="2"/>
        <v>0.70795447586324733</v>
      </c>
      <c r="M12" s="10">
        <v>13.356402690074439</v>
      </c>
      <c r="N12" s="10">
        <v>7</v>
      </c>
      <c r="O12" s="10"/>
      <c r="P12" s="10"/>
    </row>
    <row r="13" spans="1:16" x14ac:dyDescent="0.3">
      <c r="A13" s="10">
        <v>13</v>
      </c>
      <c r="B13" s="10">
        <v>0.63500000000000001</v>
      </c>
      <c r="C13" s="10">
        <v>0.65400000000000003</v>
      </c>
      <c r="D13" s="10">
        <v>0.63300000000000001</v>
      </c>
      <c r="E13" s="10">
        <v>0.63300000000000001</v>
      </c>
      <c r="F13" s="10">
        <f t="shared" si="0"/>
        <v>0.63875000000000004</v>
      </c>
      <c r="G13" s="10">
        <f t="shared" si="1"/>
        <v>1.0210288928331077E-2</v>
      </c>
      <c r="H13" s="10">
        <f>F13-F23</f>
        <v>0.53700000000000003</v>
      </c>
      <c r="I13" s="13">
        <v>88.183999999999997</v>
      </c>
      <c r="J13" s="13">
        <v>5.0010000000000003</v>
      </c>
      <c r="K13" s="10">
        <f>'gallic acid calibration'!$B$20</f>
        <v>0.47672556853103859</v>
      </c>
      <c r="L13" s="10">
        <f t="shared" si="2"/>
        <v>1.1264342327068557</v>
      </c>
      <c r="M13" s="10">
        <v>21.30850478019428</v>
      </c>
      <c r="N13" s="10">
        <v>19</v>
      </c>
      <c r="O13" s="10"/>
      <c r="P13" s="10"/>
    </row>
    <row r="14" spans="1:16" x14ac:dyDescent="0.3">
      <c r="A14" s="14">
        <v>14</v>
      </c>
      <c r="B14" s="10">
        <v>0.41299999999999998</v>
      </c>
      <c r="C14" s="10">
        <v>0.41399999999999998</v>
      </c>
      <c r="D14" s="10">
        <v>0.41299999999999998</v>
      </c>
      <c r="E14" s="10">
        <v>0.438</v>
      </c>
      <c r="F14" s="10">
        <f t="shared" si="0"/>
        <v>0.41949999999999998</v>
      </c>
      <c r="G14" s="10">
        <f t="shared" si="1"/>
        <v>1.2342339054382423E-2</v>
      </c>
      <c r="H14" s="10">
        <f>F14-F23</f>
        <v>0.31774999999999998</v>
      </c>
      <c r="I14" s="13">
        <v>87.527000000000001</v>
      </c>
      <c r="J14" s="13">
        <v>5.0410000000000004</v>
      </c>
      <c r="K14" s="10">
        <f>'gallic acid calibration'!$B$20</f>
        <v>0.47672556853103859</v>
      </c>
      <c r="L14" s="14">
        <f t="shared" si="2"/>
        <v>0.6665260287571757</v>
      </c>
      <c r="M14" s="10">
        <v>12.415283921222006</v>
      </c>
      <c r="N14" s="10">
        <v>5</v>
      </c>
      <c r="O14" s="10"/>
      <c r="P14" s="10"/>
    </row>
    <row r="15" spans="1:16" x14ac:dyDescent="0.3">
      <c r="A15" s="14">
        <v>15</v>
      </c>
      <c r="B15" s="10">
        <v>0.51100000000000001</v>
      </c>
      <c r="C15" s="10">
        <v>0.48499999999999999</v>
      </c>
      <c r="D15" s="10">
        <v>0.48599999999999999</v>
      </c>
      <c r="E15" s="10">
        <v>0.48599999999999999</v>
      </c>
      <c r="F15" s="10">
        <f t="shared" si="0"/>
        <v>0.49199999999999999</v>
      </c>
      <c r="G15" s="10">
        <f t="shared" si="1"/>
        <v>1.2675435561221041E-2</v>
      </c>
      <c r="H15" s="10">
        <f>F15-F23</f>
        <v>0.39024999999999999</v>
      </c>
      <c r="I15" s="13">
        <v>88.281999999999996</v>
      </c>
      <c r="J15" s="13">
        <v>5.0110000000000001</v>
      </c>
      <c r="K15" s="10">
        <f>'gallic acid calibration'!$B$20</f>
        <v>0.47672556853103859</v>
      </c>
      <c r="L15" s="14">
        <f t="shared" si="2"/>
        <v>0.81860513838705851</v>
      </c>
      <c r="M15" s="10">
        <v>15.471642550972163</v>
      </c>
      <c r="N15" s="10">
        <v>16</v>
      </c>
      <c r="O15" s="10"/>
      <c r="P15" s="10"/>
    </row>
    <row r="16" spans="1:16" x14ac:dyDescent="0.3">
      <c r="A16" s="14">
        <v>16</v>
      </c>
      <c r="B16" s="10">
        <v>0.32</v>
      </c>
      <c r="C16" s="10">
        <v>0.35599999999999998</v>
      </c>
      <c r="D16" s="10">
        <v>0.26900000000000002</v>
      </c>
      <c r="E16" s="10">
        <v>0.27800000000000002</v>
      </c>
      <c r="F16" s="10">
        <f t="shared" si="0"/>
        <v>0.30574999999999997</v>
      </c>
      <c r="G16" s="10">
        <f t="shared" si="1"/>
        <v>4.0202611855450897E-2</v>
      </c>
      <c r="H16" s="10">
        <f>F16-F23</f>
        <v>0.20399999999999996</v>
      </c>
      <c r="I16" s="13">
        <v>88.197999999999993</v>
      </c>
      <c r="J16" s="13">
        <v>5.0039999999999996</v>
      </c>
      <c r="K16" s="10">
        <f>'gallic acid calibration'!$B$20</f>
        <v>0.47672556853103859</v>
      </c>
      <c r="L16" s="14">
        <f t="shared" si="2"/>
        <v>0.42791914985511825</v>
      </c>
      <c r="M16" s="10">
        <v>8.0912823094357691</v>
      </c>
      <c r="N16" s="10">
        <v>6</v>
      </c>
      <c r="O16" s="10"/>
      <c r="P16" s="10"/>
    </row>
    <row r="17" spans="1:17" x14ac:dyDescent="0.3">
      <c r="A17" s="10">
        <v>17</v>
      </c>
      <c r="B17" s="10">
        <v>0.71699999999999997</v>
      </c>
      <c r="C17" s="10">
        <v>0.77600000000000002</v>
      </c>
      <c r="D17" s="10">
        <v>0.78200000000000003</v>
      </c>
      <c r="E17" s="10">
        <v>0.75900000000000001</v>
      </c>
      <c r="F17" s="10">
        <f t="shared" si="0"/>
        <v>0.75849999999999995</v>
      </c>
      <c r="G17" s="10">
        <f t="shared" si="1"/>
        <v>2.9331439332793318E-2</v>
      </c>
      <c r="H17" s="10">
        <f>F17-F23</f>
        <v>0.65674999999999994</v>
      </c>
      <c r="I17" s="13">
        <v>25.53</v>
      </c>
      <c r="J17" s="13">
        <v>5.008</v>
      </c>
      <c r="K17" s="10">
        <f>'gallic acid calibration'!$B$20</f>
        <v>0.47672556853103859</v>
      </c>
      <c r="L17" s="10">
        <f t="shared" si="2"/>
        <v>1.3776269689575928</v>
      </c>
      <c r="M17" s="10">
        <v>7.5341164200010962</v>
      </c>
      <c r="N17" s="10">
        <v>20</v>
      </c>
      <c r="O17" s="10"/>
      <c r="P17" s="10"/>
    </row>
    <row r="18" spans="1:17" x14ac:dyDescent="0.3">
      <c r="A18" s="10">
        <v>18</v>
      </c>
      <c r="B18" s="10">
        <v>0.61199999999999999</v>
      </c>
      <c r="C18" s="10">
        <v>0.61799999999999999</v>
      </c>
      <c r="D18" s="10">
        <v>0.54800000000000004</v>
      </c>
      <c r="E18" s="10">
        <v>0.64900000000000002</v>
      </c>
      <c r="F18" s="10">
        <f t="shared" si="0"/>
        <v>0.60675000000000001</v>
      </c>
      <c r="G18" s="10">
        <f t="shared" si="1"/>
        <v>4.2390053864871005E-2</v>
      </c>
      <c r="H18" s="10">
        <f>F18-F23</f>
        <v>0.505</v>
      </c>
      <c r="I18" s="13">
        <v>87.847000000000008</v>
      </c>
      <c r="J18" s="13">
        <v>5.0069999999999997</v>
      </c>
      <c r="K18" s="10">
        <f>'gallic acid calibration'!$B$20</f>
        <v>0.47672556853103859</v>
      </c>
      <c r="L18" s="10">
        <f t="shared" si="2"/>
        <v>1.0593096601805627</v>
      </c>
      <c r="M18" s="10">
        <v>19.93822406457102</v>
      </c>
      <c r="N18" s="10">
        <v>3</v>
      </c>
      <c r="O18" s="10"/>
      <c r="P18" s="10"/>
    </row>
    <row r="19" spans="1:17" x14ac:dyDescent="0.3">
      <c r="A19" s="14">
        <v>19</v>
      </c>
      <c r="B19" s="10">
        <v>0.27300000000000002</v>
      </c>
      <c r="C19" s="10">
        <v>0.27900000000000003</v>
      </c>
      <c r="D19" s="10">
        <v>0.25900000000000001</v>
      </c>
      <c r="E19" s="10">
        <v>0.26500000000000001</v>
      </c>
      <c r="F19" s="10">
        <f t="shared" si="0"/>
        <v>0.26900000000000002</v>
      </c>
      <c r="G19" s="10">
        <f t="shared" si="1"/>
        <v>8.7939373055152883E-3</v>
      </c>
      <c r="H19" s="10">
        <f>F19-F23</f>
        <v>0.16725000000000001</v>
      </c>
      <c r="I19" s="13">
        <v>150.596</v>
      </c>
      <c r="J19" s="13">
        <v>5.0019999999999998</v>
      </c>
      <c r="K19" s="10">
        <f>'gallic acid calibration'!$B$20</f>
        <v>0.47672556853103859</v>
      </c>
      <c r="L19" s="14">
        <f t="shared" si="2"/>
        <v>0.35083077359445369</v>
      </c>
      <c r="M19" s="10">
        <v>11.331349277642449</v>
      </c>
      <c r="N19" s="10">
        <v>15</v>
      </c>
      <c r="O19" s="10"/>
      <c r="P19" s="10"/>
    </row>
    <row r="20" spans="1:17" x14ac:dyDescent="0.3">
      <c r="A20" s="14">
        <v>20</v>
      </c>
      <c r="B20" s="10">
        <v>0.47299999999999998</v>
      </c>
      <c r="C20" s="10">
        <v>0.5</v>
      </c>
      <c r="D20" s="10">
        <v>0.46100000000000002</v>
      </c>
      <c r="E20" s="10">
        <v>0.47</v>
      </c>
      <c r="F20" s="10">
        <f t="shared" si="0"/>
        <v>0.47599999999999998</v>
      </c>
      <c r="G20" s="10">
        <f t="shared" si="1"/>
        <v>1.6792855623746664E-2</v>
      </c>
      <c r="H20" s="10">
        <f>F20-F23</f>
        <v>0.37424999999999997</v>
      </c>
      <c r="I20" s="13">
        <v>88.088999999999999</v>
      </c>
      <c r="J20" s="13">
        <v>5.032</v>
      </c>
      <c r="K20" s="10">
        <f>'gallic acid calibration'!$B$20</f>
        <v>0.47672556853103859</v>
      </c>
      <c r="L20" s="14">
        <f t="shared" si="2"/>
        <v>0.78504285212391189</v>
      </c>
      <c r="M20" s="10">
        <v>14.743093070037173</v>
      </c>
      <c r="N20" s="10">
        <v>10</v>
      </c>
      <c r="O20" s="10"/>
      <c r="P20" s="10"/>
    </row>
    <row r="21" spans="1:17" x14ac:dyDescent="0.3">
      <c r="A21" s="10" t="s">
        <v>44</v>
      </c>
      <c r="B21" s="10">
        <v>0.54300000000000004</v>
      </c>
      <c r="C21" s="10">
        <v>0.54</v>
      </c>
      <c r="D21" s="10">
        <v>0.55900000000000005</v>
      </c>
      <c r="E21" s="10">
        <v>0.622</v>
      </c>
      <c r="F21" s="10">
        <f t="shared" si="0"/>
        <v>0.56600000000000006</v>
      </c>
      <c r="G21" s="10">
        <f t="shared" si="1"/>
        <v>3.8253540141186038E-2</v>
      </c>
      <c r="H21" s="10">
        <f>F21-F23</f>
        <v>0.46425000000000005</v>
      </c>
      <c r="I21" s="10">
        <v>125.681</v>
      </c>
      <c r="J21" s="13">
        <v>5.024</v>
      </c>
      <c r="K21" s="10">
        <f>'gallic acid calibration'!$B$20</f>
        <v>0.47672556853103859</v>
      </c>
      <c r="L21" s="10">
        <f t="shared" si="2"/>
        <v>0.97383071235411134</v>
      </c>
      <c r="M21" s="10">
        <v>26.134708472950404</v>
      </c>
      <c r="N21" s="10">
        <v>9</v>
      </c>
      <c r="O21" s="10"/>
      <c r="P21" s="10"/>
    </row>
    <row r="22" spans="1:17" x14ac:dyDescent="0.3">
      <c r="A22" s="10"/>
      <c r="B22" s="10"/>
      <c r="C22" s="10"/>
      <c r="D22" s="10"/>
      <c r="E22" s="10"/>
      <c r="F22" s="10" t="s">
        <v>55</v>
      </c>
      <c r="G22" s="10"/>
      <c r="H22" s="10"/>
      <c r="I22" s="10"/>
      <c r="J22" s="13"/>
      <c r="K22" s="10"/>
      <c r="L22" s="10"/>
      <c r="M22" s="10"/>
      <c r="N22" s="10"/>
      <c r="O22" s="10"/>
      <c r="P22" s="10"/>
      <c r="Q22" s="10"/>
    </row>
    <row r="23" spans="1:17" x14ac:dyDescent="0.3">
      <c r="A23" s="10" t="s">
        <v>24</v>
      </c>
      <c r="B23" s="10">
        <v>9.1999999999999998E-2</v>
      </c>
      <c r="C23" s="10">
        <v>9.6000000000000002E-2</v>
      </c>
      <c r="D23" s="10">
        <v>9.0999999999999998E-2</v>
      </c>
      <c r="E23" s="10">
        <v>0.128</v>
      </c>
      <c r="F23" s="10">
        <f>AVERAGE(B23:E23)</f>
        <v>0.10175000000000001</v>
      </c>
      <c r="G23" s="10">
        <f>STDEV(B23:C23)</f>
        <v>2.8284271247461927E-3</v>
      </c>
      <c r="H23" s="10"/>
      <c r="I23" s="10"/>
      <c r="J23" s="13"/>
      <c r="K23" s="10"/>
      <c r="L23" s="10"/>
      <c r="M23" s="10"/>
      <c r="N23" s="10"/>
      <c r="O23" s="10"/>
      <c r="P23" s="10"/>
      <c r="Q23" s="10"/>
    </row>
    <row r="24" spans="1:17" x14ac:dyDescent="0.3">
      <c r="A24" s="10"/>
      <c r="B24" s="10"/>
      <c r="C24" s="10"/>
      <c r="D24" s="10"/>
      <c r="E24" s="10"/>
      <c r="F24" s="10"/>
      <c r="G24" s="10"/>
      <c r="H24" s="10"/>
      <c r="I24" s="10"/>
      <c r="J24" s="13"/>
      <c r="K24" s="10"/>
      <c r="L24" s="10"/>
      <c r="M24" s="10"/>
      <c r="N24" s="10"/>
      <c r="O24" s="10"/>
      <c r="P24" s="10"/>
      <c r="Q24" s="10"/>
    </row>
    <row r="25" spans="1:17" x14ac:dyDescent="0.3">
      <c r="A25" s="10" t="s">
        <v>54</v>
      </c>
      <c r="B25" s="10"/>
      <c r="C25" s="10"/>
      <c r="D25" s="10"/>
      <c r="E25" s="10"/>
      <c r="F25" s="10"/>
      <c r="G25" s="10"/>
      <c r="H25" s="10"/>
      <c r="I25" s="10"/>
      <c r="J25" s="13"/>
      <c r="K25" s="10" t="s">
        <v>56</v>
      </c>
      <c r="L25" s="10"/>
      <c r="M25" s="10"/>
      <c r="N25" s="10"/>
      <c r="O25" s="10"/>
      <c r="P25" s="10"/>
      <c r="Q25" s="10"/>
    </row>
    <row r="26" spans="1:17" x14ac:dyDescent="0.3">
      <c r="A26" s="14">
        <v>1</v>
      </c>
      <c r="B26" s="10">
        <f>B2-F23</f>
        <v>0.20624999999999999</v>
      </c>
      <c r="C26" s="10">
        <f>C2-F23</f>
        <v>0.21525</v>
      </c>
      <c r="D26" s="10">
        <f>D2-F23</f>
        <v>0.22125</v>
      </c>
      <c r="E26" s="10">
        <f>E2-F23</f>
        <v>0.22925000000000001</v>
      </c>
      <c r="F26" s="10">
        <v>0.10175000000000001</v>
      </c>
      <c r="G26" s="10">
        <f>(B26/K2)*I2/J2</f>
        <v>10.940858370180997</v>
      </c>
      <c r="H26" s="10">
        <f>(C26/K2)*I2/J2</f>
        <v>11.418277644516168</v>
      </c>
      <c r="I26" s="13">
        <f>(D26/K2)*I2/J2</f>
        <v>11.736557160739615</v>
      </c>
      <c r="J26" s="13">
        <f>(E26/K2)*I2/J2</f>
        <v>12.160929849037545</v>
      </c>
      <c r="K26" s="15">
        <f>STDEV(G26:J26)</f>
        <v>0.51498919634489071</v>
      </c>
      <c r="L26" s="10"/>
      <c r="M26" s="10"/>
      <c r="N26" s="10"/>
      <c r="O26" s="10"/>
      <c r="P26" s="10"/>
      <c r="Q26" s="10"/>
    </row>
    <row r="27" spans="1:17" x14ac:dyDescent="0.3">
      <c r="A27" s="10">
        <v>2</v>
      </c>
      <c r="B27" s="10">
        <f>B3-F26</f>
        <v>0.57625000000000004</v>
      </c>
      <c r="C27" s="10">
        <f>C3-F26</f>
        <v>0.62724999999999997</v>
      </c>
      <c r="D27" s="10">
        <f>D3-F26</f>
        <v>0.59324999999999994</v>
      </c>
      <c r="E27" s="10">
        <f>E3-F26</f>
        <v>0.63324999999999998</v>
      </c>
      <c r="F27" s="10">
        <v>0.10174999999999999</v>
      </c>
      <c r="G27" s="10">
        <f>(B27/K3)*I3/J3</f>
        <v>12.092012638472562</v>
      </c>
      <c r="H27" s="10">
        <f>(C27/K3)*I3/J3</f>
        <v>13.162195101920894</v>
      </c>
      <c r="I27" s="13">
        <f>(D27/K3)*I3/J3</f>
        <v>12.448740126288673</v>
      </c>
      <c r="J27" s="13">
        <f>(E27/K3)*I3/J3</f>
        <v>13.288098921150109</v>
      </c>
      <c r="K27" s="15">
        <f t="shared" ref="K27:K29" si="3">STDEV(G27:J27)</f>
        <v>0.57246254329486057</v>
      </c>
      <c r="L27" s="10"/>
      <c r="M27" s="10"/>
      <c r="N27" s="10"/>
      <c r="O27" s="10"/>
      <c r="P27" s="10"/>
      <c r="Q27" s="10"/>
    </row>
    <row r="28" spans="1:17" x14ac:dyDescent="0.3">
      <c r="A28" s="10">
        <v>3</v>
      </c>
      <c r="B28" s="10">
        <f>B4-F26</f>
        <v>0.40425</v>
      </c>
      <c r="C28" s="10">
        <f>C4-F25</f>
        <v>0.495</v>
      </c>
      <c r="D28" s="10">
        <f>D4-F26</f>
        <v>0.52825</v>
      </c>
      <c r="E28" s="10">
        <f>E4-F26</f>
        <v>0.49724999999999997</v>
      </c>
      <c r="F28" s="10">
        <v>0.10175000000000001</v>
      </c>
      <c r="G28" s="10">
        <f>(B28/K4)*I4/J4</f>
        <v>14.695882518650194</v>
      </c>
      <c r="H28" s="10">
        <f>(C28/K4)*I4/J4</f>
        <v>17.994958186102277</v>
      </c>
      <c r="I28" s="13">
        <f>(D28/K4)*I4/J4</f>
        <v>19.203710427896016</v>
      </c>
      <c r="J28" s="13">
        <f>(E28/K4)*I4/J4</f>
        <v>18.076753450584562</v>
      </c>
      <c r="K28" s="15">
        <f t="shared" si="3"/>
        <v>1.9444901956852516</v>
      </c>
      <c r="L28" s="10"/>
      <c r="M28" s="10"/>
      <c r="N28" s="10"/>
      <c r="O28" s="10"/>
      <c r="P28" s="10"/>
      <c r="Q28" s="10"/>
    </row>
    <row r="29" spans="1:17" x14ac:dyDescent="0.3">
      <c r="A29" s="10">
        <v>4</v>
      </c>
      <c r="B29" s="10">
        <f>B5-F26</f>
        <v>0.54325000000000001</v>
      </c>
      <c r="C29" s="10">
        <f>C5-F26</f>
        <v>0.53725000000000001</v>
      </c>
      <c r="D29" s="10">
        <f>D5-F26</f>
        <v>0.54725000000000001</v>
      </c>
      <c r="E29" s="10">
        <f>E5-F26</f>
        <v>0.47124999999999995</v>
      </c>
      <c r="F29" s="10">
        <v>0.10175000000000001</v>
      </c>
      <c r="G29" s="10">
        <f>(B29/K5)*I5/J5</f>
        <v>19.887607844791159</v>
      </c>
      <c r="H29" s="10">
        <f>(C29/K5)*I5/J5</f>
        <v>19.667956400578095</v>
      </c>
      <c r="I29" s="13">
        <f>(D29/K5)*I5/J5</f>
        <v>20.034042140933202</v>
      </c>
      <c r="J29" s="13">
        <f>(E29/K5)*I5/J5</f>
        <v>17.251790514234393</v>
      </c>
      <c r="K29" s="15">
        <f t="shared" si="3"/>
        <v>1.3143446793613365</v>
      </c>
      <c r="L29" s="10"/>
      <c r="M29" s="10"/>
      <c r="N29" s="10"/>
      <c r="O29" s="10"/>
      <c r="P29" s="10"/>
      <c r="Q29" s="10"/>
    </row>
    <row r="30" spans="1:17" x14ac:dyDescent="0.3">
      <c r="A30" s="10">
        <v>6</v>
      </c>
      <c r="B30" s="10">
        <f>B6-F28</f>
        <v>0.50824999999999998</v>
      </c>
      <c r="C30" s="10">
        <f>C6-F28</f>
        <v>0.50124999999999997</v>
      </c>
      <c r="D30" s="10">
        <f>D6-F28</f>
        <v>0.44425000000000003</v>
      </c>
      <c r="E30" s="10">
        <f>E6-F28</f>
        <v>0.43325000000000002</v>
      </c>
      <c r="F30" s="10">
        <v>0.10175000000000001</v>
      </c>
      <c r="G30" s="10">
        <f>(B30/K6)*I6/J6</f>
        <v>10.574930976615676</v>
      </c>
      <c r="H30" s="10">
        <f>(C30/K6)*I6/J6</f>
        <v>10.42928509990872</v>
      </c>
      <c r="I30" s="13">
        <f>(D30/K6)*I6/J6</f>
        <v>9.2433115324378026</v>
      </c>
      <c r="J30" s="13">
        <f>(E30/K6)*I6/J6</f>
        <v>9.0144394404697312</v>
      </c>
      <c r="K30" s="15">
        <f>STDEV(G30:J30)</f>
        <v>0.80053424230074499</v>
      </c>
      <c r="L30" s="10"/>
      <c r="M30" s="10"/>
      <c r="N30" s="10"/>
      <c r="O30" s="10"/>
      <c r="P30" s="10"/>
      <c r="Q30" s="10"/>
    </row>
    <row r="31" spans="1:17" x14ac:dyDescent="0.3">
      <c r="A31" s="10">
        <v>7</v>
      </c>
      <c r="B31" s="10">
        <f>B7-F29</f>
        <v>0.59324999999999994</v>
      </c>
      <c r="C31" s="10">
        <f>C7-F29</f>
        <v>0.56525000000000003</v>
      </c>
      <c r="D31" s="10">
        <f>D7-F29</f>
        <v>0.56525000000000003</v>
      </c>
      <c r="E31" s="10">
        <f>E7-F29</f>
        <v>0.56525000000000003</v>
      </c>
      <c r="F31" s="10">
        <v>0.10175000000000001</v>
      </c>
      <c r="G31" s="10">
        <f>(B31/K7)*I7/J7</f>
        <v>12.423939165674881</v>
      </c>
      <c r="H31" s="10">
        <f>(C31/K7)*I7/J7</f>
        <v>11.837558556085506</v>
      </c>
      <c r="I31" s="13">
        <f>(D31/K7)*I7/J7</f>
        <v>11.837558556085506</v>
      </c>
      <c r="J31" s="13">
        <f>(E31/K7)*I7/J7</f>
        <v>11.837558556085506</v>
      </c>
      <c r="K31" s="15">
        <f>STDEV(G31:J31)</f>
        <v>0.29319030479468733</v>
      </c>
      <c r="L31" s="10"/>
      <c r="M31" s="10"/>
      <c r="N31" s="10"/>
      <c r="O31" s="10"/>
      <c r="P31" s="10"/>
      <c r="Q31" s="10"/>
    </row>
    <row r="32" spans="1:17" x14ac:dyDescent="0.3">
      <c r="A32" s="14">
        <v>8</v>
      </c>
      <c r="B32" s="10">
        <f t="shared" ref="B32" si="4">B8-F29</f>
        <v>0.30624999999999997</v>
      </c>
      <c r="C32" s="10">
        <f t="shared" ref="C32" si="5">C8-F29</f>
        <v>0.28525</v>
      </c>
      <c r="D32" s="10">
        <f t="shared" ref="D32" si="6">D8-F29</f>
        <v>0.23125000000000001</v>
      </c>
      <c r="E32" s="10">
        <f t="shared" ref="E32" si="7">E8-F29</f>
        <v>0.23625000000000002</v>
      </c>
      <c r="F32" s="10">
        <v>0.10174999999999999</v>
      </c>
      <c r="G32" s="10">
        <f t="shared" ref="G32:G45" si="8">(B32/K8)*I8/J8</f>
        <v>15.948483640057111</v>
      </c>
      <c r="H32" s="10">
        <f t="shared" ref="H32:H45" si="9">(C32/K8)*I8/J8</f>
        <v>14.854873333310341</v>
      </c>
      <c r="I32" s="13">
        <f t="shared" ref="I32:I45" si="10">(D32/K8)*I8/J8</f>
        <v>12.042732544532923</v>
      </c>
      <c r="J32" s="13">
        <f t="shared" ref="J32:J45" si="11">(E32/K8)*I8/J8</f>
        <v>12.303115950901201</v>
      </c>
      <c r="K32" s="15">
        <f t="shared" ref="K32:K45" si="12">STDEV(G32:J32)</f>
        <v>1.9197869192797108</v>
      </c>
      <c r="L32" s="10"/>
      <c r="M32" s="10"/>
      <c r="N32" s="10"/>
      <c r="O32" s="10"/>
      <c r="P32" s="10"/>
      <c r="Q32" s="10"/>
    </row>
    <row r="33" spans="1:17" x14ac:dyDescent="0.3">
      <c r="A33" s="10">
        <v>9</v>
      </c>
      <c r="B33" s="10">
        <f t="shared" ref="B33" si="13">B9-F32</f>
        <v>0.48424999999999996</v>
      </c>
      <c r="C33" s="10">
        <f t="shared" ref="C33" si="14">C9-F32</f>
        <v>0.52224999999999999</v>
      </c>
      <c r="D33" s="10">
        <f t="shared" ref="D33" si="15">D9-F32</f>
        <v>0.48424999999999996</v>
      </c>
      <c r="E33" s="10">
        <f t="shared" ref="E33" si="16">E9-F32</f>
        <v>0.43325000000000002</v>
      </c>
      <c r="F33" s="10">
        <v>0.10174999999999999</v>
      </c>
      <c r="G33" s="10">
        <f t="shared" si="8"/>
        <v>10.176359406182643</v>
      </c>
      <c r="H33" s="10">
        <f t="shared" si="9"/>
        <v>10.974917294535643</v>
      </c>
      <c r="I33" s="13">
        <f t="shared" si="10"/>
        <v>10.176359406182643</v>
      </c>
      <c r="J33" s="13">
        <f t="shared" si="11"/>
        <v>9.1046106612878273</v>
      </c>
      <c r="K33" s="15">
        <f t="shared" si="12"/>
        <v>0.76761139521894006</v>
      </c>
      <c r="L33" s="10"/>
      <c r="M33" s="10"/>
      <c r="N33" s="10"/>
      <c r="O33" s="10"/>
      <c r="P33" s="10"/>
      <c r="Q33" s="10"/>
    </row>
    <row r="34" spans="1:17" x14ac:dyDescent="0.3">
      <c r="A34" s="14">
        <v>10</v>
      </c>
      <c r="B34" s="10">
        <f t="shared" ref="B34" si="17">B10-F32</f>
        <v>0.38324999999999998</v>
      </c>
      <c r="C34" s="10">
        <f t="shared" ref="C34:C35" si="18">C10-F31</f>
        <v>0.37924999999999998</v>
      </c>
      <c r="D34" s="10">
        <f t="shared" ref="D34" si="19">D10-F32</f>
        <v>0.46524999999999994</v>
      </c>
      <c r="E34" s="10">
        <f t="shared" ref="E34" si="20">E10-F32</f>
        <v>0.49124999999999996</v>
      </c>
      <c r="F34" s="10">
        <v>0.10174999999999999</v>
      </c>
      <c r="G34" s="10">
        <f t="shared" si="8"/>
        <v>14.108521563469823</v>
      </c>
      <c r="H34" s="10">
        <f t="shared" si="9"/>
        <v>13.961270196858269</v>
      </c>
      <c r="I34" s="13">
        <f t="shared" si="10"/>
        <v>17.127174579006748</v>
      </c>
      <c r="J34" s="13">
        <f t="shared" si="11"/>
        <v>18.08430846198187</v>
      </c>
      <c r="K34" s="15">
        <f t="shared" si="12"/>
        <v>2.0991929166959791</v>
      </c>
      <c r="L34" s="10"/>
      <c r="M34" s="10"/>
      <c r="N34" s="10"/>
      <c r="O34" s="10"/>
      <c r="P34" s="10"/>
      <c r="Q34" s="10"/>
    </row>
    <row r="35" spans="1:17" x14ac:dyDescent="0.3">
      <c r="A35" s="14">
        <v>11</v>
      </c>
      <c r="B35" s="10">
        <f t="shared" ref="B35" si="21">B11-F32</f>
        <v>0.31924999999999998</v>
      </c>
      <c r="C35" s="10">
        <f t="shared" si="18"/>
        <v>0.32324999999999998</v>
      </c>
      <c r="D35" s="10">
        <f t="shared" ref="D35" si="22">D11-F32</f>
        <v>0.33624999999999999</v>
      </c>
      <c r="E35" s="10">
        <f t="shared" ref="E35" si="23">E11-F32</f>
        <v>0.38124999999999998</v>
      </c>
      <c r="F35" s="10">
        <v>0.10174999999999999</v>
      </c>
      <c r="G35" s="10">
        <f t="shared" si="8"/>
        <v>16.87885162250825</v>
      </c>
      <c r="H35" s="10">
        <f t="shared" si="9"/>
        <v>17.090332927097233</v>
      </c>
      <c r="I35" s="13">
        <f t="shared" si="10"/>
        <v>17.77764716701143</v>
      </c>
      <c r="J35" s="13">
        <f t="shared" si="11"/>
        <v>20.156811843637492</v>
      </c>
      <c r="K35" s="15">
        <f t="shared" si="12"/>
        <v>1.5037092846467761</v>
      </c>
      <c r="L35" s="10"/>
      <c r="M35" s="10"/>
      <c r="N35" s="10"/>
      <c r="O35" s="10"/>
      <c r="P35" s="10"/>
      <c r="Q35" s="10"/>
    </row>
    <row r="36" spans="1:17" x14ac:dyDescent="0.3">
      <c r="A36" s="14">
        <v>12</v>
      </c>
      <c r="B36" s="10">
        <f t="shared" ref="B36:B37" si="24">B12-F34</f>
        <v>0.34625</v>
      </c>
      <c r="C36" s="10">
        <f t="shared" ref="C36:C37" si="25">C12-F34</f>
        <v>0.31624999999999998</v>
      </c>
      <c r="D36" s="10">
        <f t="shared" ref="D36:D37" si="26">D12-F34</f>
        <v>0.33825</v>
      </c>
      <c r="E36" s="10">
        <f t="shared" ref="E36:E37" si="27">E12-F34</f>
        <v>0.34925</v>
      </c>
      <c r="F36" s="10">
        <v>0.10174999999999999</v>
      </c>
      <c r="G36" s="10">
        <f t="shared" si="8"/>
        <v>12.772952972637595</v>
      </c>
      <c r="H36" s="10">
        <f t="shared" si="9"/>
        <v>11.666271126632891</v>
      </c>
      <c r="I36" s="13">
        <f t="shared" si="10"/>
        <v>12.477837813703006</v>
      </c>
      <c r="J36" s="13">
        <f t="shared" si="11"/>
        <v>12.883621157238064</v>
      </c>
      <c r="K36" s="15">
        <f t="shared" si="12"/>
        <v>0.54994899906408001</v>
      </c>
      <c r="L36" s="10"/>
      <c r="M36" s="10"/>
      <c r="N36" s="10"/>
      <c r="O36" s="10"/>
      <c r="P36" s="10"/>
      <c r="Q36" s="10"/>
    </row>
    <row r="37" spans="1:17" x14ac:dyDescent="0.3">
      <c r="A37" s="10">
        <v>13</v>
      </c>
      <c r="B37" s="10">
        <f t="shared" si="24"/>
        <v>0.53325</v>
      </c>
      <c r="C37" s="10">
        <f t="shared" si="25"/>
        <v>0.55225000000000002</v>
      </c>
      <c r="D37" s="10">
        <f t="shared" si="26"/>
        <v>0.53125</v>
      </c>
      <c r="E37" s="10">
        <f t="shared" si="27"/>
        <v>0.53125</v>
      </c>
      <c r="F37" s="10">
        <v>0.10174999999999999</v>
      </c>
      <c r="G37" s="10">
        <f t="shared" si="8"/>
        <v>19.724016566536466</v>
      </c>
      <c r="H37" s="10">
        <f t="shared" si="9"/>
        <v>20.426794465766079</v>
      </c>
      <c r="I37" s="13">
        <f t="shared" si="10"/>
        <v>19.650039945564924</v>
      </c>
      <c r="J37" s="13">
        <f t="shared" si="11"/>
        <v>19.650039945564924</v>
      </c>
      <c r="K37" s="15">
        <f t="shared" si="12"/>
        <v>0.37766133703052179</v>
      </c>
      <c r="L37" s="10"/>
      <c r="M37" s="10"/>
      <c r="N37" s="10"/>
      <c r="O37" s="10"/>
      <c r="P37" s="10"/>
      <c r="Q37" s="10"/>
    </row>
    <row r="38" spans="1:17" x14ac:dyDescent="0.3">
      <c r="A38" s="14">
        <v>14</v>
      </c>
      <c r="B38" s="10">
        <f t="shared" ref="B38" si="28">B14-F35</f>
        <v>0.31124999999999997</v>
      </c>
      <c r="C38" s="10">
        <f t="shared" ref="C38" si="29">C14-F35</f>
        <v>0.31224999999999997</v>
      </c>
      <c r="D38" s="10">
        <f t="shared" ref="D38" si="30">D14-F35</f>
        <v>0.31124999999999997</v>
      </c>
      <c r="E38" s="10">
        <f t="shared" ref="E38" si="31">E14-F35</f>
        <v>0.33624999999999999</v>
      </c>
      <c r="F38" s="10">
        <v>0.10174999999999999</v>
      </c>
      <c r="G38" s="10">
        <f t="shared" si="8"/>
        <v>11.336167662803328</v>
      </c>
      <c r="H38" s="10">
        <f t="shared" si="9"/>
        <v>11.372589085013137</v>
      </c>
      <c r="I38" s="13">
        <f t="shared" si="10"/>
        <v>11.336167662803328</v>
      </c>
      <c r="J38" s="13">
        <f t="shared" si="11"/>
        <v>12.246703218048578</v>
      </c>
      <c r="K38" s="15">
        <f t="shared" si="12"/>
        <v>0.44952554175628912</v>
      </c>
      <c r="L38" s="10"/>
      <c r="M38" s="10"/>
      <c r="N38" s="10"/>
      <c r="O38" s="10"/>
      <c r="P38" s="10"/>
      <c r="Q38" s="10"/>
    </row>
    <row r="39" spans="1:17" x14ac:dyDescent="0.3">
      <c r="A39" s="14">
        <v>15</v>
      </c>
      <c r="B39" s="10">
        <f t="shared" ref="B39" si="32">B15-F38</f>
        <v>0.40925</v>
      </c>
      <c r="C39" s="10">
        <f t="shared" ref="C39" si="33">C15-F38</f>
        <v>0.38324999999999998</v>
      </c>
      <c r="D39" s="10">
        <f t="shared" ref="D39" si="34">D15-F38</f>
        <v>0.38424999999999998</v>
      </c>
      <c r="E39" s="10">
        <f t="shared" ref="E39" si="35">E15-F38</f>
        <v>0.38424999999999998</v>
      </c>
      <c r="F39" s="10">
        <v>0.10174999999999999</v>
      </c>
      <c r="G39" s="10">
        <f t="shared" si="8"/>
        <v>15.124046480183093</v>
      </c>
      <c r="H39" s="10">
        <f t="shared" si="9"/>
        <v>14.163202965253927</v>
      </c>
      <c r="I39" s="13">
        <f t="shared" si="10"/>
        <v>14.200158485058896</v>
      </c>
      <c r="J39" s="13">
        <f t="shared" si="11"/>
        <v>14.200158485058896</v>
      </c>
      <c r="K39" s="15">
        <f t="shared" si="12"/>
        <v>0.46842730991929821</v>
      </c>
      <c r="L39" s="10"/>
      <c r="M39" s="10"/>
      <c r="N39" s="10"/>
      <c r="O39" s="10"/>
      <c r="P39" s="10"/>
      <c r="Q39" s="10"/>
    </row>
    <row r="40" spans="1:17" x14ac:dyDescent="0.3">
      <c r="A40" s="14">
        <v>16</v>
      </c>
      <c r="B40" s="10">
        <f t="shared" ref="B40" si="36">B16-F38</f>
        <v>0.21825</v>
      </c>
      <c r="C40" s="10">
        <f t="shared" ref="C40:C41" si="37">C16-F37</f>
        <v>0.25424999999999998</v>
      </c>
      <c r="D40" s="10">
        <f t="shared" ref="D40" si="38">D16-F38</f>
        <v>0.16725000000000001</v>
      </c>
      <c r="E40" s="10">
        <f t="shared" ref="E40" si="39">E16-F38</f>
        <v>0.17625000000000002</v>
      </c>
      <c r="F40" s="10">
        <v>0.10174999999999999</v>
      </c>
      <c r="G40" s="10">
        <f t="shared" si="8"/>
        <v>8.0691398609540474</v>
      </c>
      <c r="H40" s="10">
        <f t="shared" si="9"/>
        <v>9.4001320029670854</v>
      </c>
      <c r="I40" s="13">
        <f t="shared" si="10"/>
        <v>6.1835676597689098</v>
      </c>
      <c r="J40" s="13">
        <f t="shared" si="11"/>
        <v>6.5163156952721701</v>
      </c>
      <c r="K40" s="15">
        <f t="shared" si="12"/>
        <v>1.4863711241112463</v>
      </c>
      <c r="L40" s="10"/>
      <c r="M40" s="10"/>
      <c r="N40" s="10"/>
      <c r="O40" s="10"/>
      <c r="P40" s="10"/>
      <c r="Q40" s="10"/>
    </row>
    <row r="41" spans="1:17" x14ac:dyDescent="0.3">
      <c r="A41" s="10">
        <v>17</v>
      </c>
      <c r="B41" s="10">
        <f t="shared" ref="B41" si="40">B17-F38</f>
        <v>0.61524999999999996</v>
      </c>
      <c r="C41" s="10">
        <f t="shared" si="37"/>
        <v>0.67425000000000002</v>
      </c>
      <c r="D41" s="10">
        <f t="shared" ref="D41" si="41">D17-F38</f>
        <v>0.68025000000000002</v>
      </c>
      <c r="E41" s="10">
        <f t="shared" ref="E41" si="42">E17-F38</f>
        <v>0.65725</v>
      </c>
      <c r="F41" s="10">
        <v>0.10174999999999999</v>
      </c>
      <c r="G41" s="10">
        <f t="shared" si="8"/>
        <v>6.5791482352663886</v>
      </c>
      <c r="H41" s="10">
        <f t="shared" si="9"/>
        <v>7.2100620847271237</v>
      </c>
      <c r="I41" s="13">
        <f t="shared" si="10"/>
        <v>7.2742228151807575</v>
      </c>
      <c r="J41" s="13">
        <f t="shared" si="11"/>
        <v>7.0282733484418269</v>
      </c>
      <c r="K41" s="15">
        <f t="shared" si="12"/>
        <v>0.31365442880807842</v>
      </c>
      <c r="L41" s="10"/>
      <c r="M41" s="10"/>
      <c r="N41" s="10"/>
      <c r="O41" s="10"/>
      <c r="P41" s="10"/>
      <c r="Q41" s="10"/>
    </row>
    <row r="42" spans="1:17" x14ac:dyDescent="0.3">
      <c r="A42" s="10">
        <v>18</v>
      </c>
      <c r="B42" s="10">
        <f t="shared" ref="B42:B43" si="43">B18-F40</f>
        <v>0.51024999999999998</v>
      </c>
      <c r="C42" s="10">
        <f t="shared" ref="C42:C43" si="44">C18-F40</f>
        <v>0.51624999999999999</v>
      </c>
      <c r="D42" s="10">
        <f t="shared" ref="D42:D43" si="45">D18-F40</f>
        <v>0.44625000000000004</v>
      </c>
      <c r="E42" s="10">
        <f t="shared" ref="E42:E43" si="46">E18-F40</f>
        <v>0.54725000000000001</v>
      </c>
      <c r="F42" s="10">
        <v>0.10174999999999999</v>
      </c>
      <c r="G42" s="10">
        <f t="shared" si="8"/>
        <v>18.778630278026302</v>
      </c>
      <c r="H42" s="10">
        <f t="shared" si="9"/>
        <v>18.999447096582223</v>
      </c>
      <c r="I42" s="13">
        <f t="shared" si="10"/>
        <v>16.4232508800965</v>
      </c>
      <c r="J42" s="13">
        <f t="shared" si="11"/>
        <v>20.140333992454469</v>
      </c>
      <c r="K42" s="15">
        <f t="shared" si="12"/>
        <v>1.5600728054758093</v>
      </c>
      <c r="L42" s="10"/>
      <c r="M42" s="10"/>
      <c r="N42" s="10"/>
      <c r="O42" s="10"/>
      <c r="P42" s="10"/>
      <c r="Q42" s="10"/>
    </row>
    <row r="43" spans="1:17" x14ac:dyDescent="0.3">
      <c r="A43" s="14">
        <v>19</v>
      </c>
      <c r="B43" s="10">
        <f t="shared" si="43"/>
        <v>0.17125000000000001</v>
      </c>
      <c r="C43" s="10">
        <f t="shared" si="44"/>
        <v>0.17725000000000002</v>
      </c>
      <c r="D43" s="10">
        <f t="shared" si="45"/>
        <v>0.15725</v>
      </c>
      <c r="E43" s="10">
        <f t="shared" si="46"/>
        <v>0.16325000000000001</v>
      </c>
      <c r="F43" s="10">
        <v>0.10174999999999999</v>
      </c>
      <c r="G43" s="10">
        <f t="shared" si="8"/>
        <v>10.815133485756007</v>
      </c>
      <c r="H43" s="10">
        <f t="shared" si="9"/>
        <v>11.194057870658408</v>
      </c>
      <c r="I43" s="13">
        <f t="shared" si="10"/>
        <v>9.9309765876504077</v>
      </c>
      <c r="J43" s="13">
        <f t="shared" si="11"/>
        <v>10.309900972552807</v>
      </c>
      <c r="K43" s="15">
        <f t="shared" si="12"/>
        <v>0.555372880727108</v>
      </c>
      <c r="L43" s="10"/>
      <c r="M43" s="10"/>
      <c r="N43" s="10"/>
      <c r="O43" s="10"/>
      <c r="P43" s="10"/>
      <c r="Q43" s="10"/>
    </row>
    <row r="44" spans="1:17" x14ac:dyDescent="0.3">
      <c r="A44" s="14">
        <v>20</v>
      </c>
      <c r="B44" s="10">
        <f t="shared" ref="B44" si="47">B20-F41</f>
        <v>0.37124999999999997</v>
      </c>
      <c r="C44" s="10">
        <f t="shared" ref="C44" si="48">C20-F41</f>
        <v>0.39824999999999999</v>
      </c>
      <c r="D44" s="10">
        <f t="shared" ref="D44" si="49">D20-F41</f>
        <v>0.35925000000000001</v>
      </c>
      <c r="E44" s="10">
        <f t="shared" ref="E44" si="50">E20-F41</f>
        <v>0.36824999999999997</v>
      </c>
      <c r="F44" s="10">
        <v>0.10174999999999999</v>
      </c>
      <c r="G44" s="10">
        <f t="shared" si="8"/>
        <v>13.63261168655591</v>
      </c>
      <c r="H44" s="10">
        <f t="shared" si="9"/>
        <v>14.624074354669068</v>
      </c>
      <c r="I44" s="13">
        <f t="shared" si="10"/>
        <v>13.191961611838954</v>
      </c>
      <c r="J44" s="13">
        <f t="shared" si="11"/>
        <v>13.522449167876673</v>
      </c>
      <c r="K44" s="15">
        <f t="shared" si="12"/>
        <v>0.6166477571095883</v>
      </c>
      <c r="L44" s="10"/>
      <c r="M44" s="10"/>
      <c r="N44" s="10"/>
      <c r="O44" s="10"/>
      <c r="P44" s="10"/>
      <c r="Q44" s="10"/>
    </row>
    <row r="45" spans="1:17" x14ac:dyDescent="0.3">
      <c r="A45" s="10" t="s">
        <v>44</v>
      </c>
      <c r="B45" s="10">
        <f t="shared" ref="B45" si="51">B21-F44</f>
        <v>0.44125000000000003</v>
      </c>
      <c r="C45" s="10">
        <f t="shared" ref="C45" si="52">C21-F44</f>
        <v>0.43825000000000003</v>
      </c>
      <c r="D45" s="10">
        <f t="shared" ref="D45" si="53">D21-F44</f>
        <v>0.45725000000000005</v>
      </c>
      <c r="E45" s="10">
        <f t="shared" ref="E45" si="54">E21-F44</f>
        <v>0.52024999999999999</v>
      </c>
      <c r="F45" s="10">
        <v>0.10174999999999999</v>
      </c>
      <c r="G45" s="10">
        <f t="shared" si="8"/>
        <v>23.154545992408277</v>
      </c>
      <c r="H45" s="10">
        <f t="shared" si="9"/>
        <v>22.997121317105787</v>
      </c>
      <c r="I45" s="13">
        <f t="shared" si="10"/>
        <v>23.994144260688241</v>
      </c>
      <c r="J45" s="13">
        <f t="shared" si="11"/>
        <v>27.300062442040577</v>
      </c>
      <c r="K45" s="15">
        <f t="shared" si="12"/>
        <v>2.0073503786323577</v>
      </c>
      <c r="L45" s="10"/>
      <c r="M45" s="10"/>
      <c r="N45" s="10"/>
      <c r="O45" s="10"/>
      <c r="P45" s="10"/>
      <c r="Q45" s="10"/>
    </row>
    <row r="46" spans="1:17" x14ac:dyDescent="0.3">
      <c r="A46" s="10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</row>
    <row r="47" spans="1:17" x14ac:dyDescent="0.3">
      <c r="A47" s="10"/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</row>
    <row r="48" spans="1:17" x14ac:dyDescent="0.3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</row>
    <row r="49" spans="1:17" x14ac:dyDescent="0.3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</row>
    <row r="50" spans="1:17" x14ac:dyDescent="0.3">
      <c r="A50" s="10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</row>
    <row r="51" spans="1:17" x14ac:dyDescent="0.3">
      <c r="L51" s="10"/>
      <c r="M51" s="10"/>
      <c r="N51" s="10"/>
      <c r="O51" s="10"/>
      <c r="P51" s="10"/>
      <c r="Q51" s="10"/>
    </row>
    <row r="52" spans="1:17" x14ac:dyDescent="0.3">
      <c r="P52" s="10"/>
      <c r="Q52" s="10"/>
    </row>
    <row r="79" spans="1:11" x14ac:dyDescent="0.3">
      <c r="A79" t="str">
        <f>'gallic acid calibration'!A27</f>
        <v>standard error in slope sb</v>
      </c>
      <c r="B79">
        <f>'gallic acid calibration'!$B$21</f>
        <v>4.175928198955596E-2</v>
      </c>
      <c r="C79" t="s">
        <v>13</v>
      </c>
      <c r="F79" t="s">
        <v>14</v>
      </c>
      <c r="G79" t="s">
        <v>45</v>
      </c>
      <c r="H79" t="s">
        <v>19</v>
      </c>
      <c r="I79" t="s">
        <v>53</v>
      </c>
      <c r="J79" t="s">
        <v>46</v>
      </c>
      <c r="K79" t="s">
        <v>18</v>
      </c>
    </row>
    <row r="80" spans="1:11" x14ac:dyDescent="0.3">
      <c r="A80" t="str">
        <f>'gallic acid calibration'!A28</f>
        <v>b</v>
      </c>
      <c r="B80">
        <f>'gallic acid calibration'!B28</f>
        <v>0.47672556853103859</v>
      </c>
      <c r="C80">
        <f>H2-B83</f>
        <v>-0.17203571428571429</v>
      </c>
      <c r="F80">
        <f>C80^2</f>
        <v>2.9596286989795922E-2</v>
      </c>
      <c r="G80">
        <v>1</v>
      </c>
      <c r="H80">
        <f>B88*SQRT(B81+B82+(F80/B80^2*B85))</f>
        <v>0.21780668347852788</v>
      </c>
      <c r="I80">
        <v>5.9089631613814904</v>
      </c>
      <c r="J80">
        <v>2.7759999999999998</v>
      </c>
      <c r="K80">
        <f>J80*I80</f>
        <v>16.403281735995016</v>
      </c>
    </row>
    <row r="81" spans="1:11" x14ac:dyDescent="0.3">
      <c r="A81" t="str">
        <f>'gallic acid calibration'!A29</f>
        <v>1/m</v>
      </c>
      <c r="B81">
        <f>'gallic acid calibration'!B29</f>
        <v>0.25</v>
      </c>
      <c r="C81">
        <f>H3-B83</f>
        <v>0.21746428571428567</v>
      </c>
      <c r="F81">
        <f>C81^2</f>
        <v>4.7290715561224467E-2</v>
      </c>
      <c r="G81">
        <v>2</v>
      </c>
      <c r="H81">
        <f>B88*SQRT(B81+B82+(F81/B80^2*B85))</f>
        <v>0.24726740064103267</v>
      </c>
      <c r="I81">
        <v>2.6536103894944105</v>
      </c>
      <c r="J81">
        <v>2.7759999999999998</v>
      </c>
      <c r="K81">
        <f>J81*I81</f>
        <v>7.3664224412364829</v>
      </c>
    </row>
    <row r="82" spans="1:11" x14ac:dyDescent="0.3">
      <c r="A82" t="str">
        <f>'gallic acid calibration'!A30</f>
        <v>1/n</v>
      </c>
      <c r="B82">
        <f>'gallic acid calibration'!B30</f>
        <v>0.14285714285714285</v>
      </c>
      <c r="C82">
        <f>H4-B83</f>
        <v>6.5714285714285614E-2</v>
      </c>
      <c r="F82">
        <f>C82^2</f>
        <v>4.3183673469387625E-3</v>
      </c>
      <c r="G82">
        <v>3</v>
      </c>
      <c r="H82">
        <f>B88*SQRT(B81+B82+(F82/B80^2*B85))</f>
        <v>0.16693164006725247</v>
      </c>
      <c r="I82">
        <v>3.1036085856136295</v>
      </c>
      <c r="J82">
        <v>2.7759999999999998</v>
      </c>
      <c r="K82">
        <f>J82*I82</f>
        <v>8.6156174336634344</v>
      </c>
    </row>
    <row r="83" spans="1:11" x14ac:dyDescent="0.3">
      <c r="A83" t="str">
        <f>'gallic acid calibration'!A31</f>
        <v>mean y</v>
      </c>
      <c r="B83">
        <f>'gallic acid calibration'!B31</f>
        <v>0.39003571428571426</v>
      </c>
      <c r="C83">
        <f>H5-B83</f>
        <v>0.13471428571428579</v>
      </c>
      <c r="F83">
        <f>C83^2</f>
        <v>1.8147938775510224E-2</v>
      </c>
      <c r="G83">
        <v>4</v>
      </c>
      <c r="H83">
        <f>B88*SQRT(B81+B82+(F83/B80^2*B85))</f>
        <v>0.1964049240673881</v>
      </c>
      <c r="I83">
        <v>3.6772048643320709</v>
      </c>
      <c r="J83">
        <v>2.7759999999999998</v>
      </c>
      <c r="K83">
        <f t="shared" ref="K83:K100" si="55">J83*I83</f>
        <v>10.207920703385827</v>
      </c>
    </row>
    <row r="84" spans="1:11" x14ac:dyDescent="0.3">
      <c r="A84" t="str">
        <f>'gallic acid calibration'!A32</f>
        <v>mean x</v>
      </c>
      <c r="B84">
        <f>'gallic acid calibration'!B32</f>
        <v>0.87142857142857133</v>
      </c>
      <c r="C84" t="e">
        <f>#REF!-B83</f>
        <v>#REF!</v>
      </c>
      <c r="F84" t="e">
        <f>C84^2</f>
        <v>#REF!</v>
      </c>
      <c r="G84">
        <v>5</v>
      </c>
      <c r="H84">
        <f>B88*SQRT(B81+B82+(F85/B80^2*B85))</f>
        <v>0.1723157514422515</v>
      </c>
      <c r="I84">
        <v>4.6267236253027395</v>
      </c>
      <c r="J84">
        <v>2.7759999999999998</v>
      </c>
      <c r="K84">
        <f t="shared" si="55"/>
        <v>12.843784783840404</v>
      </c>
    </row>
    <row r="85" spans="1:11" x14ac:dyDescent="0.3">
      <c r="A85" t="str">
        <f>'gallic acid calibration'!A33</f>
        <v>sum( xi-mean x)^2</v>
      </c>
      <c r="B85">
        <f>'gallic acid calibration'!B33</f>
        <v>2.8192857142857144</v>
      </c>
      <c r="C85">
        <f>H6-B83</f>
        <v>8.1714285714285739E-2</v>
      </c>
      <c r="F85">
        <f t="shared" ref="F85:F90" si="56">C85^2</f>
        <v>6.6772244897959224E-3</v>
      </c>
      <c r="G85">
        <v>6</v>
      </c>
      <c r="H85">
        <f>B88*SQRT(B81+B82+(F86/B80^2*B85))</f>
        <v>0.22412455655579486</v>
      </c>
      <c r="I85">
        <v>2.3849113410596217</v>
      </c>
      <c r="J85">
        <v>2.7759999999999998</v>
      </c>
      <c r="K85">
        <f t="shared" si="55"/>
        <v>6.6205138827815091</v>
      </c>
    </row>
    <row r="86" spans="1:11" x14ac:dyDescent="0.3">
      <c r="A86" t="str">
        <f>'gallic acid calibration'!A34</f>
        <v>standard error in regression, s yx</v>
      </c>
      <c r="B86">
        <f>'gallic acid calibration'!B34</f>
        <v>0.11910549583719578</v>
      </c>
      <c r="C86">
        <f>H7-B83</f>
        <v>0.18221428571428566</v>
      </c>
      <c r="F86">
        <f t="shared" si="56"/>
        <v>3.3202045918367326E-2</v>
      </c>
      <c r="G86">
        <v>7</v>
      </c>
      <c r="H86">
        <f>B88*SQRT(B81+B82+(F87/B80^2*B85))</f>
        <v>0.19151153270110249</v>
      </c>
      <c r="I86">
        <v>2.0511581301065878</v>
      </c>
      <c r="J86">
        <v>2.7759999999999998</v>
      </c>
      <c r="K86">
        <f t="shared" si="55"/>
        <v>5.6940149691758872</v>
      </c>
    </row>
    <row r="87" spans="1:11" x14ac:dyDescent="0.3">
      <c r="C87">
        <f>H8-B83</f>
        <v>-0.12528571428571428</v>
      </c>
      <c r="F87">
        <f t="shared" si="56"/>
        <v>1.569651020408163E-2</v>
      </c>
      <c r="G87">
        <v>8</v>
      </c>
      <c r="H87">
        <f>B88*SQRT(B81+B82+(F88/B80^2*B85))</f>
        <v>0.17586797769498574</v>
      </c>
      <c r="I87">
        <v>4.6839549668467857</v>
      </c>
      <c r="J87">
        <v>2.7759999999999998</v>
      </c>
      <c r="K87">
        <f t="shared" si="55"/>
        <v>13.002658987966676</v>
      </c>
    </row>
    <row r="88" spans="1:11" x14ac:dyDescent="0.3">
      <c r="A88" t="str">
        <f>'gallic acid calibration'!A36</f>
        <v>sy,x / b</v>
      </c>
      <c r="B88">
        <f>B86/B80</f>
        <v>0.24984079667512332</v>
      </c>
      <c r="C88">
        <f>H9-B83</f>
        <v>9.096428571428572E-2</v>
      </c>
      <c r="F88">
        <f t="shared" si="56"/>
        <v>8.274501275510205E-3</v>
      </c>
      <c r="G88">
        <v>9</v>
      </c>
      <c r="H88">
        <f>B88*SQRT(B81+B82+(F89/B80^2*B85))</f>
        <v>0.16044815203733703</v>
      </c>
      <c r="I88">
        <v>1.7244085535115758</v>
      </c>
      <c r="J88">
        <v>2.7759999999999998</v>
      </c>
      <c r="K88">
        <f t="shared" si="55"/>
        <v>4.7869581445481346</v>
      </c>
    </row>
    <row r="89" spans="1:11" x14ac:dyDescent="0.3">
      <c r="C89">
        <f>H10-B83</f>
        <v>3.9714285714285702E-2</v>
      </c>
      <c r="F89">
        <f t="shared" si="56"/>
        <v>1.5772244897959175E-3</v>
      </c>
      <c r="G89">
        <v>10</v>
      </c>
      <c r="H89">
        <f>B88*SQRT(B81+B82+(F90/B80^2*B85))</f>
        <v>0.16266810804076362</v>
      </c>
      <c r="I89">
        <v>3.0625585458095825</v>
      </c>
      <c r="J89">
        <v>2.7759999999999998</v>
      </c>
      <c r="K89">
        <f t="shared" si="55"/>
        <v>8.5016625231674006</v>
      </c>
    </row>
    <row r="90" spans="1:11" x14ac:dyDescent="0.3">
      <c r="A90" t="s">
        <v>15</v>
      </c>
      <c r="B90">
        <f>STDEV('gallic acid calibration'!A3:A9)</f>
        <v>0.68547863014170796</v>
      </c>
      <c r="C90">
        <f>H11-B83</f>
        <v>-5.0035714285714294E-2</v>
      </c>
      <c r="F90">
        <f t="shared" si="56"/>
        <v>2.5035727040816336E-3</v>
      </c>
      <c r="G90">
        <v>11</v>
      </c>
      <c r="H90">
        <f>B88*SQRT(B81+B82+(F91/B80^2*B85))</f>
        <v>0.16327729481351988</v>
      </c>
      <c r="I90">
        <v>4.4148954892965708</v>
      </c>
      <c r="J90">
        <v>2.7759999999999998</v>
      </c>
      <c r="K90">
        <f t="shared" si="55"/>
        <v>12.255749878287279</v>
      </c>
    </row>
    <row r="91" spans="1:11" x14ac:dyDescent="0.3">
      <c r="A91" t="s">
        <v>16</v>
      </c>
      <c r="B91">
        <f>7-1</f>
        <v>6</v>
      </c>
      <c r="C91">
        <f>H12-B83</f>
        <v>-5.2535714285714241E-2</v>
      </c>
      <c r="F91">
        <f t="shared" ref="F91:F100" si="57">C91^2</f>
        <v>2.7600012755101995E-3</v>
      </c>
      <c r="G91">
        <v>12</v>
      </c>
      <c r="H91">
        <f>B88*SQRT(B81+B82+(F92/B80^2*B85))</f>
        <v>0.20309304677570808</v>
      </c>
      <c r="I91">
        <v>3.8315917319159114</v>
      </c>
      <c r="J91">
        <v>2.7759999999999998</v>
      </c>
      <c r="K91">
        <f t="shared" si="55"/>
        <v>10.63649864779857</v>
      </c>
    </row>
    <row r="92" spans="1:11" x14ac:dyDescent="0.3">
      <c r="A92" t="s">
        <v>17</v>
      </c>
      <c r="B92">
        <f>B90^2*B91</f>
        <v>2.8192857142857148</v>
      </c>
      <c r="C92">
        <f>H13-B83</f>
        <v>0.14696428571428577</v>
      </c>
      <c r="F92">
        <f t="shared" si="57"/>
        <v>2.1598501275510221E-2</v>
      </c>
      <c r="G92">
        <v>13</v>
      </c>
      <c r="H92">
        <f>B88*SQRT(B81+B82+(F93/B80^2*B85))</f>
        <v>0.16902184390586247</v>
      </c>
      <c r="I92">
        <v>3.1973484685125038</v>
      </c>
      <c r="J92">
        <v>2.7759999999999998</v>
      </c>
      <c r="K92">
        <f t="shared" si="55"/>
        <v>8.8758393485907092</v>
      </c>
    </row>
    <row r="93" spans="1:11" x14ac:dyDescent="0.3">
      <c r="C93">
        <f>H14-B83</f>
        <v>-7.2285714285714286E-2</v>
      </c>
      <c r="F93">
        <f t="shared" si="57"/>
        <v>5.2252244897959188E-3</v>
      </c>
      <c r="G93">
        <v>14</v>
      </c>
      <c r="H93">
        <f>B88*SQRT(B81+B82+(F94/B80^2*B85))</f>
        <v>0.15659612019567659</v>
      </c>
      <c r="I93">
        <v>2.916893278446032</v>
      </c>
      <c r="J93">
        <v>2.7759999999999998</v>
      </c>
      <c r="K93">
        <f t="shared" si="55"/>
        <v>8.0972957409661834</v>
      </c>
    </row>
    <row r="94" spans="1:11" x14ac:dyDescent="0.3">
      <c r="C94">
        <f>H15-B83</f>
        <v>2.1428571428572241E-4</v>
      </c>
      <c r="F94">
        <f t="shared" si="57"/>
        <v>4.5918367346942256E-8</v>
      </c>
      <c r="G94">
        <v>15</v>
      </c>
      <c r="H94">
        <f>B88*SQRT(B81+B82+(F95/B80^2*B85))</f>
        <v>0.22654247487472542</v>
      </c>
      <c r="I94">
        <v>4.2816542793518284</v>
      </c>
      <c r="J94">
        <v>2.7759999999999998</v>
      </c>
      <c r="K94">
        <f t="shared" si="55"/>
        <v>11.885872279480674</v>
      </c>
    </row>
    <row r="95" spans="1:11" x14ac:dyDescent="0.3">
      <c r="C95">
        <f>H16-B83</f>
        <v>-0.1860357142857143</v>
      </c>
      <c r="F95">
        <f t="shared" si="57"/>
        <v>3.4609286989795922E-2</v>
      </c>
      <c r="G95">
        <v>16</v>
      </c>
      <c r="H95">
        <f>B88*SQRT(B81+B82+(F96/B80^2*B85))</f>
        <v>0.28214500130835485</v>
      </c>
      <c r="I95">
        <v>5.3349209974710314</v>
      </c>
      <c r="J95">
        <v>2.7759999999999998</v>
      </c>
      <c r="K95">
        <f t="shared" si="55"/>
        <v>14.809740688979582</v>
      </c>
    </row>
    <row r="96" spans="1:11" x14ac:dyDescent="0.3">
      <c r="C96">
        <f>H17-B83</f>
        <v>0.26671428571428568</v>
      </c>
      <c r="F96">
        <f t="shared" si="57"/>
        <v>7.1136510204081613E-2</v>
      </c>
      <c r="G96">
        <v>17</v>
      </c>
      <c r="H96">
        <f>B88*SQRT(B81+B82+(F97/B80^2*B85))</f>
        <v>0.18643103439001757</v>
      </c>
      <c r="I96">
        <v>1.0195743470806413</v>
      </c>
      <c r="J96">
        <v>2.7759999999999998</v>
      </c>
      <c r="K96">
        <f t="shared" si="55"/>
        <v>2.8303383874958601</v>
      </c>
    </row>
    <row r="97" spans="3:11" x14ac:dyDescent="0.3">
      <c r="C97">
        <f>H18-B83</f>
        <v>0.11496428571428574</v>
      </c>
      <c r="F97">
        <f t="shared" si="57"/>
        <v>1.3216786989795925E-2</v>
      </c>
      <c r="G97">
        <v>18</v>
      </c>
      <c r="H97">
        <f>B88*SQRT(B81+B82+(F98/B80^2*B85))</f>
        <v>0.25090884350285186</v>
      </c>
      <c r="I97">
        <v>4.7225820075024352</v>
      </c>
      <c r="J97">
        <v>2.7759999999999998</v>
      </c>
      <c r="K97">
        <f t="shared" si="55"/>
        <v>13.109887652826758</v>
      </c>
    </row>
    <row r="98" spans="3:11" x14ac:dyDescent="0.3">
      <c r="C98">
        <f>H19-B83</f>
        <v>-0.22278571428571425</v>
      </c>
      <c r="F98">
        <f t="shared" si="57"/>
        <v>4.9633474489795902E-2</v>
      </c>
      <c r="G98">
        <v>19</v>
      </c>
      <c r="H98">
        <f>B88*SQRT(B81+B82+(F99/B80^2*B85))</f>
        <v>0.15721089308485287</v>
      </c>
      <c r="I98">
        <v>5.0776946433262777</v>
      </c>
      <c r="J98">
        <v>2.7759999999999998</v>
      </c>
      <c r="K98">
        <f t="shared" si="55"/>
        <v>14.095680329873746</v>
      </c>
    </row>
    <row r="99" spans="3:11" x14ac:dyDescent="0.3">
      <c r="C99">
        <f>H20-B83</f>
        <v>-1.5785714285714292E-2</v>
      </c>
      <c r="F99">
        <f t="shared" si="57"/>
        <v>2.491887755102043E-4</v>
      </c>
      <c r="G99">
        <v>20</v>
      </c>
      <c r="H99">
        <f>B88*SQRT(B81+B82+(F100/B80^2*B85))</f>
        <v>0.16966779606307231</v>
      </c>
      <c r="I99">
        <v>3.1863586829412136</v>
      </c>
      <c r="J99">
        <v>2.7759999999999998</v>
      </c>
      <c r="K99">
        <f t="shared" si="55"/>
        <v>8.845331703844808</v>
      </c>
    </row>
    <row r="100" spans="3:11" x14ac:dyDescent="0.3">
      <c r="C100">
        <f>H21-B83</f>
        <v>7.4214285714285788E-2</v>
      </c>
      <c r="F100">
        <f t="shared" si="57"/>
        <v>5.5077602040816435E-3</v>
      </c>
      <c r="G100" s="4" t="s">
        <v>44</v>
      </c>
      <c r="H100">
        <f>B88*SQRT(B81+B82+(F101/B80^2*B85))</f>
        <v>0.15659600666727738</v>
      </c>
      <c r="I100">
        <v>4.2025692251830673</v>
      </c>
      <c r="J100">
        <v>2.7759999999999998</v>
      </c>
      <c r="K100">
        <f t="shared" si="55"/>
        <v>11.666332169108195</v>
      </c>
    </row>
  </sheetData>
  <mergeCells count="1">
    <mergeCell ref="B1:C1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32"/>
  <sheetViews>
    <sheetView workbookViewId="0">
      <selection activeCell="A14" sqref="A14"/>
    </sheetView>
  </sheetViews>
  <sheetFormatPr defaultRowHeight="15.6" x14ac:dyDescent="0.3"/>
  <cols>
    <col min="1" max="1" width="42.09765625" bestFit="1" customWidth="1"/>
    <col min="2" max="2" width="13.3984375" bestFit="1" customWidth="1"/>
    <col min="5" max="5" width="10.09765625" bestFit="1" customWidth="1"/>
    <col min="6" max="6" width="13.59765625" bestFit="1" customWidth="1"/>
    <col min="8" max="8" width="16.09765625" customWidth="1"/>
    <col min="9" max="9" width="16.69921875" bestFit="1" customWidth="1"/>
  </cols>
  <sheetData>
    <row r="1" spans="1:3" x14ac:dyDescent="0.3">
      <c r="A1" t="s">
        <v>57</v>
      </c>
      <c r="B1" s="1" t="s">
        <v>3</v>
      </c>
      <c r="C1" t="s">
        <v>56</v>
      </c>
    </row>
    <row r="2" spans="1:3" x14ac:dyDescent="0.3">
      <c r="A2" t="s">
        <v>58</v>
      </c>
      <c r="B2" s="8">
        <f>sweccd!M2</f>
        <v>12.405895785140354</v>
      </c>
      <c r="C2">
        <v>0.51498919634489071</v>
      </c>
    </row>
    <row r="3" spans="1:3" x14ac:dyDescent="0.3">
      <c r="A3" t="s">
        <v>59</v>
      </c>
      <c r="B3" s="8">
        <f>sweccd!M3</f>
        <v>13.67565488060726</v>
      </c>
      <c r="C3">
        <v>0.57246254329486057</v>
      </c>
    </row>
    <row r="4" spans="1:3" x14ac:dyDescent="0.3">
      <c r="A4" t="s">
        <v>60</v>
      </c>
      <c r="B4" s="8">
        <f>sweccd!M4</f>
        <v>17.774054861366139</v>
      </c>
      <c r="C4">
        <v>1.9444901956852516</v>
      </c>
    </row>
    <row r="5" spans="1:3" x14ac:dyDescent="0.3">
      <c r="A5" t="s">
        <v>61</v>
      </c>
      <c r="B5" s="8">
        <f>sweccd!M5</f>
        <v>20.60864584576969</v>
      </c>
      <c r="C5">
        <v>1.3143446793613365</v>
      </c>
    </row>
    <row r="6" spans="1:3" x14ac:dyDescent="0.3">
      <c r="A6" t="s">
        <v>62</v>
      </c>
      <c r="B6" s="8">
        <f>sweccd!M6</f>
        <v>10.529948787596398</v>
      </c>
      <c r="C6">
        <v>0.80053424230074499</v>
      </c>
    </row>
    <row r="7" spans="1:3" x14ac:dyDescent="0.3">
      <c r="A7" t="s">
        <v>63</v>
      </c>
      <c r="B7" s="8">
        <f>sweccd!M7</f>
        <v>12.856464848450196</v>
      </c>
      <c r="C7">
        <v>0.29319030479468733</v>
      </c>
    </row>
    <row r="8" spans="1:3" x14ac:dyDescent="0.3">
      <c r="A8" t="s">
        <v>64</v>
      </c>
      <c r="B8" s="8">
        <f>sweccd!M8</f>
        <v>14.790861306871632</v>
      </c>
      <c r="C8">
        <v>1.9197869192797108</v>
      </c>
    </row>
    <row r="9" spans="1:3" x14ac:dyDescent="0.3">
      <c r="A9" t="s">
        <v>65</v>
      </c>
      <c r="B9" s="8">
        <f>sweccd!M9</f>
        <v>10.843814506299617</v>
      </c>
      <c r="C9">
        <v>0.76761139521894006</v>
      </c>
    </row>
    <row r="10" spans="1:3" x14ac:dyDescent="0.3">
      <c r="A10" t="s">
        <v>66</v>
      </c>
      <c r="B10" s="8">
        <f>sweccd!M10</f>
        <v>16.971859357752699</v>
      </c>
      <c r="C10">
        <v>2.0991929166959791</v>
      </c>
    </row>
    <row r="11" spans="1:3" x14ac:dyDescent="0.3">
      <c r="A11" t="s">
        <v>67</v>
      </c>
      <c r="B11" s="8">
        <f>sweccd!M11</f>
        <v>19.284354331452661</v>
      </c>
      <c r="C11">
        <v>1.5037092846467761</v>
      </c>
    </row>
    <row r="12" spans="1:3" x14ac:dyDescent="0.3">
      <c r="A12" t="s">
        <v>68</v>
      </c>
      <c r="B12" s="8">
        <f>sweccd!M12</f>
        <v>13.356402690074439</v>
      </c>
      <c r="C12">
        <v>0.54994899906408001</v>
      </c>
    </row>
    <row r="13" spans="1:3" x14ac:dyDescent="0.3">
      <c r="A13" t="s">
        <v>69</v>
      </c>
      <c r="B13" s="8">
        <f>sweccd!M13</f>
        <v>21.30850478019428</v>
      </c>
      <c r="C13">
        <v>0.37766133703052179</v>
      </c>
    </row>
    <row r="14" spans="1:3" x14ac:dyDescent="0.3">
      <c r="A14" t="s">
        <v>70</v>
      </c>
      <c r="B14" s="8">
        <f>sweccd!M14</f>
        <v>12.415283921222006</v>
      </c>
      <c r="C14">
        <v>0.44952554175628912</v>
      </c>
    </row>
    <row r="15" spans="1:3" x14ac:dyDescent="0.3">
      <c r="A15" t="s">
        <v>71</v>
      </c>
      <c r="B15" s="8">
        <f>sweccd!M15</f>
        <v>15.471642550972163</v>
      </c>
      <c r="C15">
        <v>0.46842730991929821</v>
      </c>
    </row>
    <row r="16" spans="1:3" x14ac:dyDescent="0.3">
      <c r="A16" t="s">
        <v>72</v>
      </c>
      <c r="B16" s="8">
        <f>sweccd!M16</f>
        <v>8.0912823094357691</v>
      </c>
      <c r="C16">
        <v>1.4863711241112463</v>
      </c>
    </row>
    <row r="17" spans="1:3" x14ac:dyDescent="0.3">
      <c r="A17" t="s">
        <v>73</v>
      </c>
      <c r="B17" s="8">
        <f>sweccd!M17</f>
        <v>7.5341164200010962</v>
      </c>
      <c r="C17">
        <v>0.31365442880807842</v>
      </c>
    </row>
    <row r="18" spans="1:3" x14ac:dyDescent="0.3">
      <c r="A18" t="s">
        <v>74</v>
      </c>
      <c r="B18" s="8">
        <f>sweccd!M18</f>
        <v>19.93822406457102</v>
      </c>
      <c r="C18">
        <v>1.5600728054758093</v>
      </c>
    </row>
    <row r="19" spans="1:3" x14ac:dyDescent="0.3">
      <c r="A19" t="s">
        <v>75</v>
      </c>
      <c r="B19" s="8">
        <f>sweccd!M19</f>
        <v>11.331349277642449</v>
      </c>
      <c r="C19">
        <v>0.555372880727108</v>
      </c>
    </row>
    <row r="20" spans="1:3" x14ac:dyDescent="0.3">
      <c r="A20" t="s">
        <v>76</v>
      </c>
      <c r="B20" s="8">
        <f>sweccd!M20</f>
        <v>14.743093070037173</v>
      </c>
      <c r="C20">
        <v>0.6166477571095883</v>
      </c>
    </row>
    <row r="21" spans="1:3" x14ac:dyDescent="0.3">
      <c r="A21" t="s">
        <v>77</v>
      </c>
      <c r="B21" s="8">
        <f>sweccd!M21</f>
        <v>26.134708472950404</v>
      </c>
      <c r="C21">
        <v>2.0073503786323577</v>
      </c>
    </row>
    <row r="25" spans="1:3" x14ac:dyDescent="0.3">
      <c r="A25" s="7"/>
    </row>
    <row r="26" spans="1:3" x14ac:dyDescent="0.3">
      <c r="A26" s="7"/>
    </row>
    <row r="27" spans="1:3" x14ac:dyDescent="0.3">
      <c r="A27" s="7"/>
    </row>
    <row r="28" spans="1:3" x14ac:dyDescent="0.3">
      <c r="A28" s="7"/>
    </row>
    <row r="29" spans="1:3" x14ac:dyDescent="0.3">
      <c r="A29" s="6"/>
    </row>
    <row r="30" spans="1:3" x14ac:dyDescent="0.3">
      <c r="A30" s="6"/>
    </row>
    <row r="31" spans="1:3" x14ac:dyDescent="0.3">
      <c r="A31" s="7"/>
    </row>
    <row r="32" spans="1:3" x14ac:dyDescent="0.3">
      <c r="A32" s="7"/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gallic acid calibration</vt:lpstr>
      <vt:lpstr>sweccd</vt:lpstr>
      <vt:lpstr>lit and 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Jackie Massaya</dc:creator>
  <cp:lastModifiedBy>Jackie Massaya</cp:lastModifiedBy>
  <dcterms:created xsi:type="dcterms:W3CDTF">2018-11-10T10:10:49Z</dcterms:created>
  <dcterms:modified xsi:type="dcterms:W3CDTF">2021-01-12T11:01:29Z</dcterms:modified>
</cp:coreProperties>
</file>